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5c6b79df3e25d85/Documents/Ariculos2020-2021/2D-PAGE Coffea/Figuras/For check english/PCTOC/In vitro/in vitro cell and dev biology/Submited/for plant scicne/PeerJ 04122024/enviados 15052024/raw second/"/>
    </mc:Choice>
  </mc:AlternateContent>
  <xr:revisionPtr revIDLastSave="73" documentId="8_{1EA626C7-456D-4DF5-B56F-299EDA8F2AC9}" xr6:coauthVersionLast="47" xr6:coauthVersionMax="47" xr10:uidLastSave="{92CD0238-AE87-4CFC-879A-F7D277F96FA6}"/>
  <bookViews>
    <workbookView xWindow="28680" yWindow="-120" windowWidth="29040" windowHeight="15840" tabRatio="500" activeTab="3" xr2:uid="{00000000-000D-0000-FFFF-FFFF00000000}"/>
  </bookViews>
  <sheets>
    <sheet name="Samples Integrity and yield" sheetId="2" r:id="rId1"/>
    <sheet name="Efficiency primer" sheetId="3" r:id="rId2"/>
    <sheet name="Delta-Delta cq" sheetId="4" r:id="rId3"/>
    <sheet name="MetadaDataYieldEmbryo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4" l="1"/>
  <c r="A32" i="4"/>
  <c r="I39" i="4"/>
  <c r="I19" i="4"/>
  <c r="I17" i="4"/>
  <c r="I37" i="4"/>
  <c r="H31" i="4"/>
  <c r="G32" i="4"/>
  <c r="G29" i="4"/>
  <c r="G12" i="4"/>
  <c r="H4" i="4"/>
  <c r="G24" i="4"/>
  <c r="G4" i="4"/>
  <c r="F4" i="4"/>
  <c r="F24" i="4"/>
  <c r="F32" i="4"/>
  <c r="F12" i="4"/>
  <c r="F10" i="4"/>
  <c r="D40" i="4"/>
  <c r="D39" i="4"/>
  <c r="D38" i="4"/>
  <c r="C40" i="4"/>
  <c r="C39" i="4"/>
  <c r="C38" i="4"/>
  <c r="A40" i="4"/>
  <c r="B40" i="4"/>
  <c r="B39" i="4"/>
  <c r="B38" i="4"/>
  <c r="A39" i="4"/>
  <c r="A38" i="4"/>
  <c r="D34" i="4"/>
  <c r="D33" i="4"/>
  <c r="D32" i="4"/>
  <c r="C34" i="4"/>
  <c r="C33" i="4"/>
  <c r="C32" i="4"/>
  <c r="B34" i="4"/>
  <c r="B33" i="4"/>
  <c r="B32" i="4"/>
  <c r="A34" i="4"/>
  <c r="E23" i="3"/>
  <c r="E22" i="3"/>
  <c r="E21" i="3"/>
  <c r="F20" i="3"/>
  <c r="F21" i="3"/>
  <c r="E20" i="3"/>
  <c r="G19" i="3"/>
  <c r="E19" i="3"/>
  <c r="E7" i="3"/>
  <c r="E6" i="3"/>
  <c r="E5" i="3"/>
  <c r="F4" i="3"/>
  <c r="G4" i="3"/>
  <c r="E4" i="3"/>
  <c r="G3" i="3"/>
  <c r="E3" i="3"/>
  <c r="G21" i="3"/>
  <c r="F22" i="3"/>
  <c r="G20" i="3"/>
  <c r="F5" i="3"/>
  <c r="G22" i="3"/>
  <c r="F23" i="3"/>
  <c r="G23" i="3"/>
  <c r="G5" i="3"/>
  <c r="F6" i="3"/>
  <c r="G28" i="3"/>
  <c r="G27" i="3"/>
  <c r="G29" i="3"/>
  <c r="F7" i="3"/>
  <c r="G7" i="3"/>
  <c r="G6" i="3"/>
  <c r="G12" i="3"/>
  <c r="G11" i="3"/>
  <c r="G13" i="3"/>
  <c r="W3" i="5"/>
  <c r="X3" i="5"/>
  <c r="W26" i="5"/>
  <c r="X26" i="5"/>
  <c r="Z36" i="5"/>
  <c r="V35" i="5"/>
  <c r="X19" i="5"/>
  <c r="V3" i="5"/>
  <c r="Z19" i="5"/>
  <c r="F31" i="4"/>
  <c r="F30" i="4"/>
  <c r="F29" i="4"/>
  <c r="F28" i="4"/>
  <c r="F27" i="4"/>
  <c r="F26" i="4"/>
  <c r="F25" i="4"/>
  <c r="F11" i="4"/>
  <c r="F9" i="4"/>
  <c r="F8" i="4"/>
  <c r="F7" i="4"/>
  <c r="F6" i="4"/>
  <c r="F5" i="4"/>
  <c r="Z26" i="5"/>
  <c r="T45" i="5"/>
  <c r="S45" i="5"/>
  <c r="R45" i="5"/>
  <c r="J45" i="5"/>
  <c r="I45" i="5"/>
  <c r="H45" i="5"/>
  <c r="T44" i="5"/>
  <c r="S44" i="5"/>
  <c r="R44" i="5"/>
  <c r="J44" i="5"/>
  <c r="I44" i="5"/>
  <c r="H44" i="5"/>
  <c r="T43" i="5"/>
  <c r="S43" i="5"/>
  <c r="R43" i="5"/>
  <c r="J43" i="5"/>
  <c r="I43" i="5"/>
  <c r="H43" i="5"/>
  <c r="T42" i="5"/>
  <c r="S42" i="5"/>
  <c r="R42" i="5"/>
  <c r="J42" i="5"/>
  <c r="I42" i="5"/>
  <c r="H42" i="5"/>
  <c r="T41" i="5"/>
  <c r="S41" i="5"/>
  <c r="R41" i="5"/>
  <c r="J41" i="5"/>
  <c r="I41" i="5"/>
  <c r="H41" i="5"/>
  <c r="T40" i="5"/>
  <c r="S40" i="5"/>
  <c r="R40" i="5"/>
  <c r="J40" i="5"/>
  <c r="I40" i="5"/>
  <c r="H40" i="5"/>
  <c r="T39" i="5"/>
  <c r="S39" i="5"/>
  <c r="R39" i="5"/>
  <c r="J39" i="5"/>
  <c r="I39" i="5"/>
  <c r="H39" i="5"/>
  <c r="T38" i="5"/>
  <c r="S38" i="5"/>
  <c r="R38" i="5"/>
  <c r="J38" i="5"/>
  <c r="I38" i="5"/>
  <c r="H38" i="5"/>
  <c r="T37" i="5"/>
  <c r="S37" i="5"/>
  <c r="R37" i="5"/>
  <c r="J37" i="5"/>
  <c r="I37" i="5"/>
  <c r="H37" i="5"/>
  <c r="T36" i="5"/>
  <c r="S36" i="5"/>
  <c r="R36" i="5"/>
  <c r="J36" i="5"/>
  <c r="I36" i="5"/>
  <c r="H36" i="5"/>
  <c r="T35" i="5"/>
  <c r="S35" i="5"/>
  <c r="R35" i="5"/>
  <c r="J35" i="5"/>
  <c r="I35" i="5"/>
  <c r="H35" i="5"/>
  <c r="T34" i="5"/>
  <c r="S34" i="5"/>
  <c r="R34" i="5"/>
  <c r="J34" i="5"/>
  <c r="I34" i="5"/>
  <c r="H34" i="5"/>
  <c r="T33" i="5"/>
  <c r="S33" i="5"/>
  <c r="R33" i="5"/>
  <c r="J33" i="5"/>
  <c r="I33" i="5"/>
  <c r="H33" i="5"/>
  <c r="T32" i="5"/>
  <c r="S32" i="5"/>
  <c r="R32" i="5"/>
  <c r="J32" i="5"/>
  <c r="I32" i="5"/>
  <c r="H32" i="5"/>
  <c r="T31" i="5"/>
  <c r="S31" i="5"/>
  <c r="R31" i="5"/>
  <c r="J31" i="5"/>
  <c r="I31" i="5"/>
  <c r="H31" i="5"/>
  <c r="T30" i="5"/>
  <c r="S30" i="5"/>
  <c r="R30" i="5"/>
  <c r="J30" i="5"/>
  <c r="I30" i="5"/>
  <c r="H30" i="5"/>
  <c r="T29" i="5"/>
  <c r="S29" i="5"/>
  <c r="R29" i="5"/>
  <c r="AA29" i="5"/>
  <c r="AB29" i="5"/>
  <c r="J29" i="5"/>
  <c r="I29" i="5"/>
  <c r="H29" i="5"/>
  <c r="W29" i="5"/>
  <c r="X29" i="5"/>
  <c r="AA28" i="5"/>
  <c r="AB28" i="5"/>
  <c r="T28" i="5"/>
  <c r="S28" i="5"/>
  <c r="R28" i="5"/>
  <c r="Z28" i="5"/>
  <c r="J28" i="5"/>
  <c r="I28" i="5"/>
  <c r="H28" i="5"/>
  <c r="W28" i="5"/>
  <c r="X28" i="5"/>
  <c r="AA27" i="5"/>
  <c r="AB27" i="5"/>
  <c r="Z27" i="5"/>
  <c r="W27" i="5"/>
  <c r="X27" i="5"/>
  <c r="V27" i="5"/>
  <c r="T27" i="5"/>
  <c r="S27" i="5"/>
  <c r="R27" i="5"/>
  <c r="J27" i="5"/>
  <c r="I27" i="5"/>
  <c r="H27" i="5"/>
  <c r="AA26" i="5"/>
  <c r="AB26" i="5"/>
  <c r="T26" i="5"/>
  <c r="S26" i="5"/>
  <c r="R26" i="5"/>
  <c r="J26" i="5"/>
  <c r="I26" i="5"/>
  <c r="H26" i="5"/>
  <c r="R22" i="5"/>
  <c r="H22" i="5"/>
  <c r="R21" i="5"/>
  <c r="H21" i="5"/>
  <c r="R20" i="5"/>
  <c r="H20" i="5"/>
  <c r="R19" i="5"/>
  <c r="H19" i="5"/>
  <c r="R18" i="5"/>
  <c r="H18" i="5"/>
  <c r="R17" i="5"/>
  <c r="H17" i="5"/>
  <c r="R16" i="5"/>
  <c r="H16" i="5"/>
  <c r="W4" i="5"/>
  <c r="X4" i="5"/>
  <c r="R15" i="5"/>
  <c r="AA3" i="5"/>
  <c r="AB3" i="5"/>
  <c r="H15" i="5"/>
  <c r="T14" i="5"/>
  <c r="S14" i="5"/>
  <c r="R14" i="5"/>
  <c r="J14" i="5"/>
  <c r="I14" i="5"/>
  <c r="H14" i="5"/>
  <c r="W6" i="5"/>
  <c r="X6" i="5"/>
  <c r="T13" i="5"/>
  <c r="S13" i="5"/>
  <c r="R13" i="5"/>
  <c r="J13" i="5"/>
  <c r="I13" i="5"/>
  <c r="H13" i="5"/>
  <c r="T12" i="5"/>
  <c r="S12" i="5"/>
  <c r="R12" i="5"/>
  <c r="J12" i="5"/>
  <c r="I12" i="5"/>
  <c r="H12" i="5"/>
  <c r="T11" i="5"/>
  <c r="S11" i="5"/>
  <c r="R11" i="5"/>
  <c r="J11" i="5"/>
  <c r="I11" i="5"/>
  <c r="H11" i="5"/>
  <c r="T10" i="5"/>
  <c r="S10" i="5"/>
  <c r="R10" i="5"/>
  <c r="AA6" i="5"/>
  <c r="AB6" i="5"/>
  <c r="J10" i="5"/>
  <c r="I10" i="5"/>
  <c r="H10" i="5"/>
  <c r="T9" i="5"/>
  <c r="S9" i="5"/>
  <c r="R9" i="5"/>
  <c r="J9" i="5"/>
  <c r="I9" i="5"/>
  <c r="H9" i="5"/>
  <c r="T8" i="5"/>
  <c r="S8" i="5"/>
  <c r="R8" i="5"/>
  <c r="AA4" i="5"/>
  <c r="AB4" i="5"/>
  <c r="J8" i="5"/>
  <c r="I8" i="5"/>
  <c r="H8" i="5"/>
  <c r="T7" i="5"/>
  <c r="S7" i="5"/>
  <c r="R7" i="5"/>
  <c r="J7" i="5"/>
  <c r="I7" i="5"/>
  <c r="H7" i="5"/>
  <c r="Z6" i="5"/>
  <c r="V6" i="5"/>
  <c r="T6" i="5"/>
  <c r="S6" i="5"/>
  <c r="R6" i="5"/>
  <c r="J6" i="5"/>
  <c r="I6" i="5"/>
  <c r="H6" i="5"/>
  <c r="AA5" i="5"/>
  <c r="AB5" i="5"/>
  <c r="Z5" i="5"/>
  <c r="T5" i="5"/>
  <c r="S5" i="5"/>
  <c r="R5" i="5"/>
  <c r="J5" i="5"/>
  <c r="I5" i="5"/>
  <c r="H5" i="5"/>
  <c r="W5" i="5"/>
  <c r="X5" i="5"/>
  <c r="V4" i="5"/>
  <c r="T4" i="5"/>
  <c r="S4" i="5"/>
  <c r="R4" i="5"/>
  <c r="J4" i="5"/>
  <c r="I4" i="5"/>
  <c r="H4" i="5"/>
  <c r="Z3" i="5"/>
  <c r="T3" i="5"/>
  <c r="S3" i="5"/>
  <c r="R3" i="5"/>
  <c r="J3" i="5"/>
  <c r="I3" i="5"/>
  <c r="H3" i="5"/>
  <c r="V29" i="5"/>
  <c r="Z29" i="5"/>
  <c r="Z4" i="5"/>
  <c r="V5" i="5"/>
  <c r="V26" i="5"/>
  <c r="V28" i="5"/>
  <c r="F17" i="4"/>
  <c r="H12" i="4"/>
  <c r="G10" i="4"/>
  <c r="H10" i="4"/>
  <c r="G17" i="4"/>
  <c r="G8" i="4"/>
  <c r="H8" i="4"/>
  <c r="G11" i="4"/>
  <c r="H11" i="4"/>
  <c r="G5" i="4"/>
  <c r="H5" i="4"/>
  <c r="G6" i="4"/>
  <c r="H6" i="4"/>
  <c r="F19" i="4"/>
  <c r="G7" i="4"/>
  <c r="H7" i="4"/>
  <c r="F39" i="4"/>
  <c r="F37" i="4"/>
  <c r="G9" i="4"/>
  <c r="H9" i="4"/>
  <c r="H19" i="4"/>
  <c r="H17" i="4"/>
  <c r="G27" i="4"/>
  <c r="H27" i="4"/>
  <c r="G28" i="4"/>
  <c r="H28" i="4"/>
  <c r="G30" i="4"/>
  <c r="H30" i="4"/>
  <c r="H29" i="4"/>
  <c r="G37" i="4"/>
  <c r="H32" i="4"/>
  <c r="G31" i="4"/>
  <c r="H24" i="4"/>
  <c r="G26" i="4"/>
  <c r="H26" i="4"/>
  <c r="G25" i="4"/>
  <c r="H25" i="4"/>
  <c r="H39" i="4"/>
  <c r="H37" i="4"/>
  <c r="H41" i="4"/>
</calcChain>
</file>

<file path=xl/sharedStrings.xml><?xml version="1.0" encoding="utf-8"?>
<sst xmlns="http://schemas.openxmlformats.org/spreadsheetml/2006/main" count="247" uniqueCount="76">
  <si>
    <t>D</t>
  </si>
  <si>
    <t>E</t>
  </si>
  <si>
    <t>T1</t>
  </si>
  <si>
    <t>T1.1</t>
  </si>
  <si>
    <t>T1.2</t>
  </si>
  <si>
    <t>T1.3</t>
  </si>
  <si>
    <t>T1.4</t>
  </si>
  <si>
    <t>C</t>
  </si>
  <si>
    <t>T2</t>
  </si>
  <si>
    <t>T2.1</t>
  </si>
  <si>
    <t>T2.2</t>
  </si>
  <si>
    <t>T2.3</t>
  </si>
  <si>
    <t>T2.4</t>
  </si>
  <si>
    <t>Concentration ng/μL</t>
  </si>
  <si>
    <t>Table. Nucleic acid quantification, yield and purity</t>
  </si>
  <si>
    <t>Tube</t>
  </si>
  <si>
    <t>Ct 1</t>
  </si>
  <si>
    <t>Ct 2</t>
  </si>
  <si>
    <t>Avg Ct</t>
  </si>
  <si>
    <t>Sample Quantity</t>
  </si>
  <si>
    <t>Log (sample quantity)</t>
  </si>
  <si>
    <t>A</t>
  </si>
  <si>
    <t>B</t>
  </si>
  <si>
    <t>Dilution Factor</t>
  </si>
  <si>
    <t>Slope</t>
  </si>
  <si>
    <t>R Squared</t>
  </si>
  <si>
    <t>Efficiency (%)</t>
  </si>
  <si>
    <t>Tratamiento 2</t>
  </si>
  <si>
    <t>TOTAL</t>
  </si>
  <si>
    <t>error</t>
  </si>
  <si>
    <t>PromedioTotal</t>
  </si>
  <si>
    <t>DESV.EST</t>
  </si>
  <si>
    <t>ERROR</t>
  </si>
  <si>
    <t>Globular</t>
  </si>
  <si>
    <t xml:space="preserve">Corazón </t>
  </si>
  <si>
    <t>Torpedo</t>
  </si>
  <si>
    <t>Cotiledonar</t>
  </si>
  <si>
    <t>S/trat (T1)</t>
  </si>
  <si>
    <t>Day 0</t>
  </si>
  <si>
    <t>ΔctTes(Day 0)</t>
  </si>
  <si>
    <t>ΔΔctTes(Day0)</t>
  </si>
  <si>
    <t>(Day0)2EXP(-ΔΔct)</t>
  </si>
  <si>
    <t>DESv</t>
  </si>
  <si>
    <t>ΔctTes(T0)</t>
  </si>
  <si>
    <t>ΔΔctTes(T0)</t>
  </si>
  <si>
    <t>(T0)2EXP(-ΔΔct)</t>
  </si>
  <si>
    <t>T1 = explant -AUX plus KIN</t>
  </si>
  <si>
    <t>T2= explant +AUX plusKIN</t>
  </si>
  <si>
    <t>ratio 260/280</t>
  </si>
  <si>
    <t>ratio 260/230</t>
  </si>
  <si>
    <t>Leaf</t>
  </si>
  <si>
    <t>CcACT2</t>
  </si>
  <si>
    <t>CcRPN12</t>
  </si>
  <si>
    <t>ControlCcRPN12ct</t>
  </si>
  <si>
    <t>TraetmentCcRPN12ct</t>
  </si>
  <si>
    <t>T1 CcACTBct</t>
  </si>
  <si>
    <t>T2 CcACTBct</t>
  </si>
  <si>
    <t>Average sample</t>
  </si>
  <si>
    <t>Standard deviation sample</t>
  </si>
  <si>
    <t>Average</t>
  </si>
  <si>
    <t>Ratio</t>
  </si>
  <si>
    <t>Con/treat (T2)</t>
  </si>
  <si>
    <t>Treatment T1</t>
  </si>
  <si>
    <t>75 days</t>
  </si>
  <si>
    <t>100 days</t>
  </si>
  <si>
    <t>Heart</t>
  </si>
  <si>
    <t>Cotyledonary</t>
  </si>
  <si>
    <t>Stage</t>
  </si>
  <si>
    <t>Matraz</t>
  </si>
  <si>
    <t>Explant 1</t>
  </si>
  <si>
    <t>Explant 2</t>
  </si>
  <si>
    <t>Explant 3</t>
  </si>
  <si>
    <t>Explant 4</t>
  </si>
  <si>
    <t>Explant 5</t>
  </si>
  <si>
    <t>average</t>
  </si>
  <si>
    <t>Embryo per explant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</si>
</sst>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>
    <font>
      <sz val="12"/>
      <name val="Optima"/>
    </font>
    <font>
      <sz val="12"/>
      <name val="Optima"/>
      <family val="2"/>
    </font>
    <font>
      <sz val="8"/>
      <name val="Optima"/>
      <family val="2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Helvetica Neue"/>
      <family val="2"/>
    </font>
  </fonts>
  <fills count="1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4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1" fillId="11" borderId="0" xfId="0" applyFont="1" applyFill="1"/>
    <xf numFmtId="0" fontId="10" fillId="0" borderId="1" xfId="0" applyFont="1" applyBorder="1" applyAlignment="1">
      <alignment horizontal="center"/>
    </xf>
    <xf numFmtId="0" fontId="5" fillId="0" borderId="2" xfId="6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6" applyAlignment="1">
      <alignment horizontal="center"/>
    </xf>
    <xf numFmtId="164" fontId="4" fillId="0" borderId="0" xfId="6" applyNumberFormat="1" applyAlignment="1">
      <alignment horizontal="center"/>
    </xf>
    <xf numFmtId="2" fontId="4" fillId="0" borderId="0" xfId="6" applyNumberFormat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6" applyBorder="1" applyAlignment="1">
      <alignment horizontal="center"/>
    </xf>
    <xf numFmtId="164" fontId="4" fillId="0" borderId="3" xfId="6" applyNumberFormat="1" applyBorder="1" applyAlignment="1">
      <alignment horizontal="center"/>
    </xf>
    <xf numFmtId="2" fontId="4" fillId="0" borderId="3" xfId="6" applyNumberFormat="1" applyBorder="1" applyAlignment="1">
      <alignment horizontal="center"/>
    </xf>
    <xf numFmtId="0" fontId="4" fillId="0" borderId="0" xfId="6"/>
    <xf numFmtId="0" fontId="10" fillId="0" borderId="0" xfId="0" applyFont="1"/>
    <xf numFmtId="0" fontId="0" fillId="0" borderId="4" xfId="0" applyBorder="1" applyAlignment="1">
      <alignment horizontal="center"/>
    </xf>
    <xf numFmtId="0" fontId="10" fillId="0" borderId="2" xfId="0" applyFont="1" applyBorder="1"/>
    <xf numFmtId="0" fontId="0" fillId="0" borderId="2" xfId="0" applyBorder="1"/>
    <xf numFmtId="164" fontId="0" fillId="0" borderId="0" xfId="0" applyNumberFormat="1"/>
    <xf numFmtId="0" fontId="12" fillId="0" borderId="3" xfId="6" applyFont="1" applyBorder="1"/>
    <xf numFmtId="2" fontId="12" fillId="0" borderId="3" xfId="6" applyNumberFormat="1" applyFont="1" applyBorder="1"/>
    <xf numFmtId="0" fontId="0" fillId="0" borderId="0" xfId="0" applyAlignment="1">
      <alignment horizontal="left"/>
    </xf>
    <xf numFmtId="0" fontId="7" fillId="4" borderId="4" xfId="3" applyBorder="1"/>
    <xf numFmtId="0" fontId="8" fillId="5" borderId="4" xfId="4" applyNumberFormat="1" applyBorder="1" applyAlignment="1">
      <alignment horizontal="left"/>
    </xf>
    <xf numFmtId="0" fontId="7" fillId="0" borderId="4" xfId="3" applyFill="1" applyBorder="1"/>
    <xf numFmtId="0" fontId="6" fillId="3" borderId="5" xfId="2" applyBorder="1"/>
    <xf numFmtId="0" fontId="6" fillId="3" borderId="6" xfId="2" applyBorder="1"/>
    <xf numFmtId="0" fontId="6" fillId="3" borderId="7" xfId="2" applyBorder="1"/>
    <xf numFmtId="0" fontId="9" fillId="0" borderId="4" xfId="5" applyFill="1" applyBorder="1"/>
    <xf numFmtId="0" fontId="6" fillId="2" borderId="5" xfId="1" applyBorder="1"/>
    <xf numFmtId="0" fontId="6" fillId="2" borderId="7" xfId="1" applyBorder="1"/>
    <xf numFmtId="0" fontId="13" fillId="0" borderId="8" xfId="0" applyFont="1" applyBorder="1"/>
    <xf numFmtId="0" fontId="0" fillId="0" borderId="9" xfId="0" applyBorder="1"/>
    <xf numFmtId="0" fontId="0" fillId="0" borderId="10" xfId="0" applyBorder="1"/>
    <xf numFmtId="0" fontId="0" fillId="12" borderId="11" xfId="0" applyFill="1" applyBorder="1"/>
    <xf numFmtId="0" fontId="0" fillId="0" borderId="11" xfId="0" applyBorder="1"/>
    <xf numFmtId="0" fontId="13" fillId="0" borderId="11" xfId="0" applyFont="1" applyBorder="1"/>
    <xf numFmtId="0" fontId="0" fillId="0" borderId="12" xfId="0" applyBorder="1"/>
    <xf numFmtId="0" fontId="6" fillId="0" borderId="5" xfId="1" applyFill="1" applyBorder="1"/>
    <xf numFmtId="0" fontId="14" fillId="0" borderId="0" xfId="1" applyFont="1" applyFill="1" applyBorder="1"/>
    <xf numFmtId="0" fontId="0" fillId="13" borderId="9" xfId="0" applyFill="1" applyBorder="1"/>
    <xf numFmtId="0" fontId="0" fillId="13" borderId="0" xfId="0" applyFill="1"/>
    <xf numFmtId="0" fontId="0" fillId="13" borderId="10" xfId="0" applyFill="1" applyBorder="1"/>
    <xf numFmtId="0" fontId="0" fillId="13" borderId="13" xfId="0" applyFill="1" applyBorder="1"/>
    <xf numFmtId="0" fontId="0" fillId="13" borderId="12" xfId="0" applyFill="1" applyBorder="1"/>
    <xf numFmtId="0" fontId="6" fillId="2" borderId="13" xfId="1" applyBorder="1"/>
    <xf numFmtId="0" fontId="6" fillId="2" borderId="14" xfId="1" applyBorder="1"/>
    <xf numFmtId="0" fontId="0" fillId="0" borderId="15" xfId="0" applyBorder="1"/>
    <xf numFmtId="0" fontId="6" fillId="0" borderId="0" xfId="2" applyFill="1" applyBorder="1"/>
    <xf numFmtId="0" fontId="9" fillId="6" borderId="8" xfId="5" applyBorder="1"/>
    <xf numFmtId="0" fontId="9" fillId="6" borderId="16" xfId="5" applyBorder="1"/>
    <xf numFmtId="0" fontId="6" fillId="0" borderId="0" xfId="1" applyFill="1" applyBorder="1"/>
    <xf numFmtId="0" fontId="6" fillId="2" borderId="9" xfId="1" applyBorder="1"/>
    <xf numFmtId="0" fontId="6" fillId="2" borderId="11" xfId="1" applyBorder="1"/>
    <xf numFmtId="0" fontId="0" fillId="12" borderId="12" xfId="0" applyFill="1" applyBorder="1"/>
    <xf numFmtId="0" fontId="15" fillId="0" borderId="11" xfId="0" applyFont="1" applyBorder="1"/>
    <xf numFmtId="0" fontId="15" fillId="0" borderId="8" xfId="0" applyFont="1" applyBorder="1"/>
    <xf numFmtId="0" fontId="1" fillId="13" borderId="0" xfId="0" applyFont="1" applyFill="1" applyAlignment="1">
      <alignment horizontal="left"/>
    </xf>
  </cellXfs>
  <cellStyles count="7">
    <cellStyle name="Accent2" xfId="1" builtinId="33"/>
    <cellStyle name="Accent5" xfId="2" builtinId="45"/>
    <cellStyle name="Bad" xfId="3" builtinId="27"/>
    <cellStyle name="Good" xfId="4" builtinId="26"/>
    <cellStyle name="Neutral" xfId="5" builtinId="28"/>
    <cellStyle name="Normal" xfId="0" builtinId="0"/>
    <cellStyle name="Normal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 (ACT2)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Log (sample quantity)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5"/>
              <c:pt idx="0">
                <c:v>0</c:v>
              </c:pt>
              <c:pt idx="1">
                <c:v>-1</c:v>
              </c:pt>
              <c:pt idx="2">
                <c:v>-2</c:v>
              </c:pt>
              <c:pt idx="3">
                <c:v>-3</c:v>
              </c:pt>
              <c:pt idx="4">
                <c:v>-4</c:v>
              </c:pt>
            </c:numLit>
          </c:xVal>
          <c:yVal>
            <c:numLit>
              <c:formatCode>General</c:formatCode>
              <c:ptCount val="5"/>
              <c:pt idx="0">
                <c:v>16.015000000000001</c:v>
              </c:pt>
              <c:pt idx="1">
                <c:v>19.47</c:v>
              </c:pt>
              <c:pt idx="2">
                <c:v>23.32</c:v>
              </c:pt>
              <c:pt idx="3">
                <c:v>26.465</c:v>
              </c:pt>
              <c:pt idx="4">
                <c:v>25.594999999999899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EAF7-4BF7-A974-748017FFD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44735"/>
        <c:axId val="1"/>
      </c:scatterChart>
      <c:valAx>
        <c:axId val="74144735"/>
        <c:scaling>
          <c:orientation val="minMax"/>
          <c:max val="0"/>
          <c:min val="-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  <c:minorUnit val="1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144735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 (RPN12)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Log (sample quantity)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5"/>
              <c:pt idx="0">
                <c:v>0</c:v>
              </c:pt>
              <c:pt idx="1">
                <c:v>-1</c:v>
              </c:pt>
              <c:pt idx="2">
                <c:v>-2</c:v>
              </c:pt>
              <c:pt idx="3">
                <c:v>-3</c:v>
              </c:pt>
              <c:pt idx="4">
                <c:v>-4</c:v>
              </c:pt>
            </c:numLit>
          </c:xVal>
          <c:yVal>
            <c:numLit>
              <c:formatCode>General</c:formatCode>
              <c:ptCount val="5"/>
              <c:pt idx="0">
                <c:v>18.009999999999899</c:v>
              </c:pt>
              <c:pt idx="1">
                <c:v>21.765000000000001</c:v>
              </c:pt>
              <c:pt idx="2">
                <c:v>26.335000000000001</c:v>
              </c:pt>
              <c:pt idx="3">
                <c:v>29.95</c:v>
              </c:pt>
              <c:pt idx="4">
                <c:v>32.504999999999903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1305-43D8-9DA0-4BCF0F447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451135"/>
        <c:axId val="1"/>
      </c:scatterChart>
      <c:valAx>
        <c:axId val="1877451135"/>
        <c:scaling>
          <c:orientation val="minMax"/>
          <c:max val="0"/>
          <c:min val="-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  <c:minorUnit val="1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77451135"/>
        <c:crossesAt val="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7.3216378173055027E-2</c:v>
                </c:pt>
                <c:pt idx="1">
                  <c:v>0.10636840128547703</c:v>
                </c:pt>
              </c:numLit>
            </c:plus>
            <c:minus>
              <c:numLit>
                <c:formatCode>General</c:formatCode>
                <c:ptCount val="2"/>
                <c:pt idx="0">
                  <c:v>7.3216378173055027E-2</c:v>
                </c:pt>
                <c:pt idx="1">
                  <c:v>0.10636840128547703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2"/>
              <c:pt idx="0">
                <c:v>0.11862582522001699</c:v>
              </c:pt>
              <c:pt idx="1">
                <c:v>0.19768821027621999</c:v>
              </c:pt>
            </c:numLit>
          </c:val>
          <c:extLst>
            <c:ext xmlns:c16="http://schemas.microsoft.com/office/drawing/2014/chart" uri="{C3380CC4-5D6E-409C-BE32-E72D297353CC}">
              <c16:uniqueId val="{00000000-FBC3-4EEF-B0A5-7C87CEAE6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139055"/>
        <c:axId val="1"/>
      </c:barChart>
      <c:catAx>
        <c:axId val="6713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390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0</xdr:row>
      <xdr:rowOff>171450</xdr:rowOff>
    </xdr:from>
    <xdr:to>
      <xdr:col>14</xdr:col>
      <xdr:colOff>428625</xdr:colOff>
      <xdr:row>14</xdr:row>
      <xdr:rowOff>57150</xdr:rowOff>
    </xdr:to>
    <xdr:graphicFrame macro="">
      <xdr:nvGraphicFramePr>
        <xdr:cNvPr id="3354" name="Gráfico 11">
          <a:extLst>
            <a:ext uri="{FF2B5EF4-FFF2-40B4-BE49-F238E27FC236}">
              <a16:creationId xmlns:a16="http://schemas.microsoft.com/office/drawing/2014/main" id="{87A44346-A6A8-F654-E776-8664658FB2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571500</xdr:colOff>
      <xdr:row>16</xdr:row>
      <xdr:rowOff>142875</xdr:rowOff>
    </xdr:from>
    <xdr:to>
      <xdr:col>14</xdr:col>
      <xdr:colOff>533400</xdr:colOff>
      <xdr:row>30</xdr:row>
      <xdr:rowOff>19050</xdr:rowOff>
    </xdr:to>
    <xdr:graphicFrame macro="">
      <xdr:nvGraphicFramePr>
        <xdr:cNvPr id="3355" name="Gráfico 11">
          <a:extLst>
            <a:ext uri="{FF2B5EF4-FFF2-40B4-BE49-F238E27FC236}">
              <a16:creationId xmlns:a16="http://schemas.microsoft.com/office/drawing/2014/main" id="{60079233-61C9-53BA-781F-DBD54BA14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4</xdr:row>
      <xdr:rowOff>95250</xdr:rowOff>
    </xdr:from>
    <xdr:to>
      <xdr:col>12</xdr:col>
      <xdr:colOff>828675</xdr:colOff>
      <xdr:row>15</xdr:row>
      <xdr:rowOff>95250</xdr:rowOff>
    </xdr:to>
    <xdr:graphicFrame macro="">
      <xdr:nvGraphicFramePr>
        <xdr:cNvPr id="4099" name="Chart 1">
          <a:extLst>
            <a:ext uri="{FF2B5EF4-FFF2-40B4-BE49-F238E27FC236}">
              <a16:creationId xmlns:a16="http://schemas.microsoft.com/office/drawing/2014/main" id="{F1885B25-4E23-8F6A-C707-13A54CEEF2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6"/>
  <sheetViews>
    <sheetView workbookViewId="0">
      <selection activeCell="C11" sqref="C11"/>
    </sheetView>
  </sheetViews>
  <sheetFormatPr defaultColWidth="10.88671875" defaultRowHeight="15"/>
  <cols>
    <col min="1" max="2" width="10.88671875" customWidth="1"/>
    <col min="3" max="3" width="13.21875" customWidth="1"/>
    <col min="4" max="4" width="12.77734375" customWidth="1"/>
  </cols>
  <sheetData>
    <row r="2" spans="1:4" ht="15.75">
      <c r="A2" s="2" t="s">
        <v>14</v>
      </c>
    </row>
    <row r="3" spans="1:4">
      <c r="B3" s="1" t="s">
        <v>13</v>
      </c>
      <c r="C3" s="1" t="s">
        <v>48</v>
      </c>
      <c r="D3" s="1" t="s">
        <v>49</v>
      </c>
    </row>
    <row r="4" spans="1:4">
      <c r="A4" s="1" t="s">
        <v>2</v>
      </c>
      <c r="B4">
        <v>261.39999999999998</v>
      </c>
      <c r="C4">
        <v>1.91</v>
      </c>
      <c r="D4">
        <v>1.77</v>
      </c>
    </row>
    <row r="5" spans="1:4">
      <c r="A5" s="1" t="s">
        <v>3</v>
      </c>
      <c r="B5">
        <v>240.4</v>
      </c>
      <c r="C5">
        <v>1.99</v>
      </c>
      <c r="D5">
        <v>1.85</v>
      </c>
    </row>
    <row r="6" spans="1:4">
      <c r="A6" s="1" t="s">
        <v>4</v>
      </c>
      <c r="B6">
        <v>207.3</v>
      </c>
      <c r="C6">
        <v>1.9</v>
      </c>
      <c r="D6">
        <v>1.69</v>
      </c>
    </row>
    <row r="7" spans="1:4">
      <c r="A7" s="1" t="s">
        <v>5</v>
      </c>
      <c r="B7">
        <v>293.8</v>
      </c>
      <c r="C7">
        <v>1.9</v>
      </c>
      <c r="D7">
        <v>1.7</v>
      </c>
    </row>
    <row r="8" spans="1:4">
      <c r="A8" s="1" t="s">
        <v>6</v>
      </c>
      <c r="B8">
        <v>288.2</v>
      </c>
      <c r="C8">
        <v>2.0099999999999998</v>
      </c>
      <c r="D8">
        <v>1.77</v>
      </c>
    </row>
    <row r="9" spans="1:4">
      <c r="A9" s="1" t="s">
        <v>8</v>
      </c>
      <c r="B9">
        <v>335.1</v>
      </c>
      <c r="C9">
        <v>1.89</v>
      </c>
      <c r="D9">
        <v>1.89</v>
      </c>
    </row>
    <row r="10" spans="1:4">
      <c r="A10" s="1" t="s">
        <v>9</v>
      </c>
      <c r="B10">
        <v>353.4</v>
      </c>
      <c r="C10">
        <v>1.91</v>
      </c>
      <c r="D10">
        <v>1.79</v>
      </c>
    </row>
    <row r="11" spans="1:4">
      <c r="A11" s="1" t="s">
        <v>10</v>
      </c>
      <c r="B11">
        <v>310.39999999999998</v>
      </c>
      <c r="C11">
        <v>1.9</v>
      </c>
      <c r="D11">
        <v>1.78</v>
      </c>
    </row>
    <row r="12" spans="1:4">
      <c r="A12" s="1" t="s">
        <v>11</v>
      </c>
      <c r="B12">
        <v>315.39999999999998</v>
      </c>
      <c r="C12">
        <v>1.93</v>
      </c>
      <c r="D12">
        <v>1.87</v>
      </c>
    </row>
    <row r="13" spans="1:4">
      <c r="A13" s="1" t="s">
        <v>12</v>
      </c>
      <c r="B13">
        <v>314.2</v>
      </c>
      <c r="C13">
        <v>2.02</v>
      </c>
      <c r="D13">
        <v>1.83</v>
      </c>
    </row>
    <row r="15" spans="1:4">
      <c r="A15" s="1" t="s">
        <v>46</v>
      </c>
    </row>
    <row r="16" spans="1:4">
      <c r="A16" s="1" t="s">
        <v>47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29"/>
  <sheetViews>
    <sheetView workbookViewId="0">
      <selection activeCell="F15" sqref="F15"/>
    </sheetView>
  </sheetViews>
  <sheetFormatPr defaultColWidth="7.44140625" defaultRowHeight="15"/>
  <cols>
    <col min="6" max="6" width="14.21875" customWidth="1"/>
    <col min="7" max="7" width="19.44140625" customWidth="1"/>
  </cols>
  <sheetData>
    <row r="2" spans="2:7" ht="15.75">
      <c r="B2" s="11" t="s">
        <v>15</v>
      </c>
      <c r="C2" s="12" t="s">
        <v>16</v>
      </c>
      <c r="D2" s="12" t="s">
        <v>17</v>
      </c>
      <c r="E2" s="13" t="s">
        <v>18</v>
      </c>
      <c r="F2" s="13" t="s">
        <v>19</v>
      </c>
      <c r="G2" s="13" t="s">
        <v>20</v>
      </c>
    </row>
    <row r="3" spans="2:7">
      <c r="B3" s="14" t="s">
        <v>21</v>
      </c>
      <c r="C3" s="15">
        <v>16.11</v>
      </c>
      <c r="D3" s="14">
        <v>15.92</v>
      </c>
      <c r="E3" s="16">
        <f>AVERAGE(C3:D3)</f>
        <v>16.015000000000001</v>
      </c>
      <c r="F3" s="17">
        <v>1</v>
      </c>
      <c r="G3" s="18">
        <f>LOG(F3)</f>
        <v>0</v>
      </c>
    </row>
    <row r="4" spans="2:7">
      <c r="B4" s="14" t="s">
        <v>22</v>
      </c>
      <c r="C4" s="14">
        <v>19.809999999999999</v>
      </c>
      <c r="D4" s="14">
        <v>19.13</v>
      </c>
      <c r="E4" s="16">
        <f>AVERAGE(C4:D4)</f>
        <v>19.47</v>
      </c>
      <c r="F4" s="17">
        <f>F3/$G$9</f>
        <v>0.1</v>
      </c>
      <c r="G4" s="18">
        <f>LOG(F4)</f>
        <v>-1</v>
      </c>
    </row>
    <row r="5" spans="2:7">
      <c r="B5" s="14" t="s">
        <v>7</v>
      </c>
      <c r="C5" s="14">
        <v>23.29</v>
      </c>
      <c r="D5" s="14">
        <v>23.35</v>
      </c>
      <c r="E5" s="16">
        <f>AVERAGE(C5:D5)</f>
        <v>23.32</v>
      </c>
      <c r="F5" s="17">
        <f>F4/$G$9</f>
        <v>0.01</v>
      </c>
      <c r="G5" s="18">
        <f>LOG(F5)</f>
        <v>-2</v>
      </c>
    </row>
    <row r="6" spans="2:7">
      <c r="B6" s="14" t="s">
        <v>0</v>
      </c>
      <c r="C6" s="14">
        <v>26.39</v>
      </c>
      <c r="D6" s="14">
        <v>26.54</v>
      </c>
      <c r="E6" s="16">
        <f>AVERAGE(C6:D6)</f>
        <v>26.465</v>
      </c>
      <c r="F6" s="17">
        <f>F5/$G$9</f>
        <v>1E-3</v>
      </c>
      <c r="G6" s="18">
        <f>LOG(F6)</f>
        <v>-3</v>
      </c>
    </row>
    <row r="7" spans="2:7">
      <c r="B7" s="19" t="s">
        <v>1</v>
      </c>
      <c r="C7" s="19">
        <v>25.88</v>
      </c>
      <c r="D7" s="19">
        <v>25.31</v>
      </c>
      <c r="E7" s="20">
        <f>AVERAGE(C7:D7)</f>
        <v>25.594999999999999</v>
      </c>
      <c r="F7" s="21">
        <f>F6/$G$9</f>
        <v>1E-4</v>
      </c>
      <c r="G7" s="22">
        <f>LOG(F7)</f>
        <v>-4</v>
      </c>
    </row>
    <row r="8" spans="2:7" ht="15.75" thickBot="1">
      <c r="E8" s="23"/>
    </row>
    <row r="9" spans="2:7" ht="16.5" thickBot="1">
      <c r="F9" s="24" t="s">
        <v>23</v>
      </c>
      <c r="G9" s="25">
        <v>10</v>
      </c>
    </row>
    <row r="10" spans="2:7">
      <c r="F10" s="23"/>
      <c r="G10" s="23"/>
    </row>
    <row r="11" spans="2:7" ht="15.75">
      <c r="F11" s="26" t="s">
        <v>24</v>
      </c>
      <c r="G11" s="27">
        <f>SLOPE(E3:E7, G3:G7)</f>
        <v>-2.6154999999999999</v>
      </c>
    </row>
    <row r="12" spans="2:7" ht="15.75">
      <c r="F12" s="24" t="s">
        <v>25</v>
      </c>
      <c r="G12" s="28">
        <f>RSQ(E3:E7,G3:G7)</f>
        <v>0.89219665746451893</v>
      </c>
    </row>
    <row r="13" spans="2:7" ht="15.75">
      <c r="F13" s="29" t="s">
        <v>26</v>
      </c>
      <c r="G13" s="30">
        <f>(10^(-1/G11)-1)*100</f>
        <v>141.177102591102</v>
      </c>
    </row>
    <row r="16" spans="2:7">
      <c r="E16" s="23"/>
    </row>
    <row r="17" spans="2:7">
      <c r="E17" s="23"/>
    </row>
    <row r="18" spans="2:7" ht="15.75">
      <c r="B18" s="11" t="s">
        <v>15</v>
      </c>
      <c r="C18" s="12" t="s">
        <v>16</v>
      </c>
      <c r="D18" s="12" t="s">
        <v>17</v>
      </c>
      <c r="E18" s="13" t="s">
        <v>18</v>
      </c>
      <c r="F18" s="13" t="s">
        <v>19</v>
      </c>
      <c r="G18" s="13" t="s">
        <v>20</v>
      </c>
    </row>
    <row r="19" spans="2:7">
      <c r="B19" s="14" t="s">
        <v>21</v>
      </c>
      <c r="C19" s="15">
        <v>17.829999999999998</v>
      </c>
      <c r="D19" s="14">
        <v>18.190000000000001</v>
      </c>
      <c r="E19" s="16">
        <f>AVERAGE(C19:D19)</f>
        <v>18.009999999999998</v>
      </c>
      <c r="F19" s="17">
        <v>1</v>
      </c>
      <c r="G19" s="18">
        <f>LOG(F19)</f>
        <v>0</v>
      </c>
    </row>
    <row r="20" spans="2:7">
      <c r="B20" s="14" t="s">
        <v>22</v>
      </c>
      <c r="C20" s="14">
        <v>21.57</v>
      </c>
      <c r="D20" s="14">
        <v>21.96</v>
      </c>
      <c r="E20" s="16">
        <f>AVERAGE(C20:D20)</f>
        <v>21.765000000000001</v>
      </c>
      <c r="F20" s="17">
        <f>F19/$G$9</f>
        <v>0.1</v>
      </c>
      <c r="G20" s="18">
        <f>LOG(F20)</f>
        <v>-1</v>
      </c>
    </row>
    <row r="21" spans="2:7">
      <c r="B21" s="14" t="s">
        <v>7</v>
      </c>
      <c r="C21" s="14">
        <v>26.11</v>
      </c>
      <c r="D21" s="14">
        <v>26.56</v>
      </c>
      <c r="E21" s="16">
        <f>AVERAGE(C21:D21)</f>
        <v>26.335000000000001</v>
      </c>
      <c r="F21" s="17">
        <f>F20/$G$9</f>
        <v>0.01</v>
      </c>
      <c r="G21" s="18">
        <f>LOG(F21)</f>
        <v>-2</v>
      </c>
    </row>
    <row r="22" spans="2:7">
      <c r="B22" s="14" t="s">
        <v>0</v>
      </c>
      <c r="C22" s="14">
        <v>28.95</v>
      </c>
      <c r="D22" s="14">
        <v>30.95</v>
      </c>
      <c r="E22" s="16">
        <f>AVERAGE(C22:D22)</f>
        <v>29.95</v>
      </c>
      <c r="F22" s="17">
        <f>F21/$G$9</f>
        <v>1E-3</v>
      </c>
      <c r="G22" s="18">
        <f>LOG(F22)</f>
        <v>-3</v>
      </c>
    </row>
    <row r="23" spans="2:7">
      <c r="B23" s="19" t="s">
        <v>1</v>
      </c>
      <c r="C23" s="19">
        <v>34.299999999999997</v>
      </c>
      <c r="D23" s="19">
        <v>30.71</v>
      </c>
      <c r="E23" s="20">
        <f>AVERAGE(C23:D23)</f>
        <v>32.504999999999995</v>
      </c>
      <c r="F23" s="21">
        <f>F22/$G$9</f>
        <v>1E-4</v>
      </c>
      <c r="G23" s="22">
        <f>LOG(F23)</f>
        <v>-4</v>
      </c>
    </row>
    <row r="24" spans="2:7" ht="15.75" thickBot="1">
      <c r="E24" s="23"/>
    </row>
    <row r="25" spans="2:7" ht="16.5" thickBot="1">
      <c r="F25" s="24" t="s">
        <v>23</v>
      </c>
      <c r="G25" s="25">
        <v>10</v>
      </c>
    </row>
    <row r="26" spans="2:7">
      <c r="F26" s="23"/>
      <c r="G26" s="23"/>
    </row>
    <row r="27" spans="2:7" ht="15.75">
      <c r="F27" s="26" t="s">
        <v>24</v>
      </c>
      <c r="G27" s="27">
        <f>SLOPE(E19:E23, G19:G23)</f>
        <v>-3.7174999999999998</v>
      </c>
    </row>
    <row r="28" spans="2:7" ht="15.75">
      <c r="F28" s="24" t="s">
        <v>25</v>
      </c>
      <c r="G28" s="28">
        <f>RSQ(E19:E23,G19:G23)</f>
        <v>0.99142592864804147</v>
      </c>
    </row>
    <row r="29" spans="2:7" ht="15.75">
      <c r="F29" s="29" t="s">
        <v>26</v>
      </c>
      <c r="G29" s="30">
        <f>(10^(-1/G27)-1)*100</f>
        <v>85.779582481010877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topLeftCell="E12" zoomScale="180" zoomScaleNormal="180" workbookViewId="0">
      <selection activeCell="F24" sqref="F24"/>
    </sheetView>
  </sheetViews>
  <sheetFormatPr defaultColWidth="10.88671875" defaultRowHeight="15"/>
  <sheetData>
    <row r="1" spans="1:9" ht="16.5" thickBot="1">
      <c r="F1" s="3" t="s">
        <v>37</v>
      </c>
    </row>
    <row r="2" spans="1:9" ht="16.5" thickBot="1">
      <c r="A2" s="31"/>
      <c r="B2" s="32" t="s">
        <v>50</v>
      </c>
      <c r="C2" s="33" t="s">
        <v>38</v>
      </c>
      <c r="D2" s="34"/>
      <c r="F2" s="35" t="s">
        <v>50</v>
      </c>
      <c r="G2" s="36"/>
      <c r="H2" s="37"/>
      <c r="I2" s="58"/>
    </row>
    <row r="3" spans="1:9" ht="16.5" thickBot="1">
      <c r="A3" s="31"/>
      <c r="B3" s="59" t="s">
        <v>55</v>
      </c>
      <c r="C3" s="60" t="s">
        <v>56</v>
      </c>
      <c r="D3" s="38"/>
      <c r="F3" s="39" t="s">
        <v>39</v>
      </c>
      <c r="G3" s="39" t="s">
        <v>40</v>
      </c>
      <c r="H3" s="40" t="s">
        <v>41</v>
      </c>
      <c r="I3" s="61"/>
    </row>
    <row r="4" spans="1:9" ht="15.75">
      <c r="A4" s="31"/>
      <c r="B4" s="66">
        <v>28.83</v>
      </c>
      <c r="C4" s="41">
        <v>28.7</v>
      </c>
      <c r="F4" s="42">
        <f>B18-B4</f>
        <v>-3.1999999999999993</v>
      </c>
      <c r="G4">
        <f>F4-F17</f>
        <v>-0.37999999999999901</v>
      </c>
      <c r="H4" s="43">
        <f>POWER(2,G4)</f>
        <v>0.76843759064400663</v>
      </c>
    </row>
    <row r="5" spans="1:9">
      <c r="B5" s="65">
        <v>27.68</v>
      </c>
      <c r="C5" s="44">
        <v>30.19</v>
      </c>
      <c r="F5" s="42">
        <f t="shared" ref="F5:F11" si="0">B19-B5</f>
        <v>-2.1099999999999994</v>
      </c>
      <c r="G5">
        <f>F5-F17</f>
        <v>0.71000000000000085</v>
      </c>
      <c r="H5" s="43">
        <f t="shared" ref="H5:H12" si="1">POWER(2,G5)</f>
        <v>1.6358041171155631</v>
      </c>
    </row>
    <row r="6" spans="1:9" ht="15.75">
      <c r="A6" s="67" t="s">
        <v>51</v>
      </c>
      <c r="B6" s="65">
        <v>27.69</v>
      </c>
      <c r="C6" s="46">
        <v>30.14</v>
      </c>
      <c r="F6" s="42">
        <f t="shared" si="0"/>
        <v>-2.2900000000000027</v>
      </c>
      <c r="G6">
        <f>F6-F17</f>
        <v>0.52999999999999758</v>
      </c>
      <c r="H6" s="43">
        <f t="shared" si="1"/>
        <v>1.4439291955224935</v>
      </c>
    </row>
    <row r="7" spans="1:9">
      <c r="A7" s="31"/>
      <c r="B7" s="65">
        <v>27.54</v>
      </c>
      <c r="C7" s="65">
        <v>28.76</v>
      </c>
      <c r="F7" s="42">
        <f t="shared" si="0"/>
        <v>-2.1799999999999997</v>
      </c>
      <c r="G7">
        <f>F7-F17</f>
        <v>0.64000000000000057</v>
      </c>
      <c r="H7" s="43">
        <f t="shared" si="1"/>
        <v>1.5583291593210002</v>
      </c>
    </row>
    <row r="8" spans="1:9">
      <c r="A8" s="31"/>
      <c r="B8" s="65">
        <v>27.65</v>
      </c>
      <c r="C8" s="65">
        <v>30.04</v>
      </c>
      <c r="F8" s="42">
        <f t="shared" si="0"/>
        <v>-2.3599999999999994</v>
      </c>
      <c r="G8">
        <f>F8-F17</f>
        <v>0.46000000000000085</v>
      </c>
      <c r="H8" s="43">
        <f t="shared" si="1"/>
        <v>1.3755418181397445</v>
      </c>
    </row>
    <row r="9" spans="1:9">
      <c r="A9" s="31"/>
      <c r="B9" s="65">
        <v>28.71</v>
      </c>
      <c r="C9" s="65">
        <v>29.3</v>
      </c>
      <c r="F9" s="42">
        <f t="shared" si="0"/>
        <v>-3.59</v>
      </c>
      <c r="G9">
        <f>F9-F17</f>
        <v>-0.76999999999999957</v>
      </c>
      <c r="H9" s="43">
        <f t="shared" si="1"/>
        <v>0.58641747461593952</v>
      </c>
    </row>
    <row r="10" spans="1:9">
      <c r="A10" s="31"/>
      <c r="B10" s="65">
        <v>28.76</v>
      </c>
      <c r="C10" s="65">
        <v>29.96</v>
      </c>
      <c r="F10" s="42">
        <f>B24-B10</f>
        <v>-3.7200000000000024</v>
      </c>
      <c r="G10">
        <f>F10-F17</f>
        <v>-0.90000000000000213</v>
      </c>
      <c r="H10" s="43">
        <f t="shared" si="1"/>
        <v>0.53588673126814579</v>
      </c>
    </row>
    <row r="11" spans="1:9">
      <c r="A11" s="31"/>
      <c r="B11" s="65">
        <v>27.65</v>
      </c>
      <c r="C11" s="65">
        <v>28.98</v>
      </c>
      <c r="F11" s="42">
        <f t="shared" si="0"/>
        <v>-2.5999999999999979</v>
      </c>
      <c r="G11">
        <f>F11-F17</f>
        <v>0.22000000000000242</v>
      </c>
      <c r="H11" s="43">
        <f t="shared" si="1"/>
        <v>1.1647335864684578</v>
      </c>
    </row>
    <row r="12" spans="1:9">
      <c r="A12" s="31"/>
      <c r="B12" s="65">
        <v>28.71</v>
      </c>
      <c r="C12" s="65">
        <v>29.2</v>
      </c>
      <c r="F12" s="42">
        <f>B26-B12</f>
        <v>-3.3300000000000018</v>
      </c>
      <c r="G12">
        <f>F12-F17</f>
        <v>-0.51000000000000156</v>
      </c>
      <c r="H12" s="43">
        <f t="shared" si="1"/>
        <v>0.70222243786899785</v>
      </c>
    </row>
    <row r="13" spans="1:9">
      <c r="A13" s="31"/>
      <c r="B13" s="45"/>
      <c r="C13" s="45"/>
      <c r="F13" s="42"/>
      <c r="H13" s="43"/>
    </row>
    <row r="14" spans="1:9">
      <c r="A14" s="31"/>
      <c r="B14" s="45"/>
      <c r="C14" s="45"/>
      <c r="F14" s="42"/>
      <c r="H14" s="43"/>
    </row>
    <row r="15" spans="1:9">
      <c r="A15" s="31"/>
      <c r="B15" s="45"/>
      <c r="C15" s="45"/>
      <c r="F15" s="42"/>
      <c r="H15" s="43"/>
    </row>
    <row r="16" spans="1:9" ht="15.75" thickBot="1">
      <c r="A16" s="31"/>
      <c r="B16" s="47"/>
      <c r="C16" s="47"/>
      <c r="D16" s="57"/>
      <c r="F16" s="42"/>
      <c r="H16" s="43"/>
    </row>
    <row r="17" spans="1:12" ht="16.5" thickBot="1">
      <c r="A17" s="31"/>
      <c r="B17" s="62" t="s">
        <v>53</v>
      </c>
      <c r="C17" s="63" t="s">
        <v>54</v>
      </c>
      <c r="D17" s="48"/>
      <c r="E17" s="49" t="s">
        <v>59</v>
      </c>
      <c r="F17" s="50">
        <f>AVERAGE(F4:F16)</f>
        <v>-2.8200000000000003</v>
      </c>
      <c r="G17" s="51">
        <f>F17-F17</f>
        <v>0</v>
      </c>
      <c r="H17" s="52">
        <f>AVERAGE(H4:H16)</f>
        <v>1.0857002345515943</v>
      </c>
      <c r="I17">
        <f>LOG(H17,2)</f>
        <v>0.1186258252200172</v>
      </c>
      <c r="K17">
        <v>0.1186258252200172</v>
      </c>
      <c r="L17">
        <v>0.19768821027622041</v>
      </c>
    </row>
    <row r="18" spans="1:12">
      <c r="A18" s="31"/>
      <c r="B18" s="66">
        <v>25.63</v>
      </c>
      <c r="C18" s="66">
        <v>26.42</v>
      </c>
      <c r="E18" s="43"/>
      <c r="F18" s="50"/>
      <c r="G18" s="51"/>
      <c r="H18" s="52"/>
    </row>
    <row r="19" spans="1:12" ht="15.75" thickBot="1">
      <c r="A19" s="31"/>
      <c r="B19" s="65">
        <v>25.57</v>
      </c>
      <c r="C19" s="65">
        <v>25.9</v>
      </c>
      <c r="E19" t="s">
        <v>42</v>
      </c>
      <c r="F19" s="53">
        <f>STDEV(F4:F16)</f>
        <v>0.63855305182889854</v>
      </c>
      <c r="G19" s="53"/>
      <c r="H19" s="54">
        <f>STDEV(H4:H16)</f>
        <v>0.43929826903833014</v>
      </c>
      <c r="I19">
        <f>(H19/(SQRT(9))/2)</f>
        <v>7.3216378173055027E-2</v>
      </c>
      <c r="K19">
        <v>7.3216378173055027E-2</v>
      </c>
      <c r="L19">
        <v>0.10636840128547703</v>
      </c>
    </row>
    <row r="20" spans="1:12">
      <c r="A20" s="67" t="s">
        <v>52</v>
      </c>
      <c r="B20" s="65">
        <v>25.4</v>
      </c>
      <c r="C20" s="65">
        <v>25.85</v>
      </c>
      <c r="K20">
        <v>7.3216378173055027E-2</v>
      </c>
      <c r="L20">
        <v>0.10636840128547703</v>
      </c>
    </row>
    <row r="21" spans="1:12" ht="16.5" thickBot="1">
      <c r="B21" s="65">
        <v>25.36</v>
      </c>
      <c r="C21" s="65">
        <v>25.8</v>
      </c>
      <c r="F21" s="3" t="s">
        <v>61</v>
      </c>
    </row>
    <row r="22" spans="1:12" ht="16.5" thickBot="1">
      <c r="A22" s="31"/>
      <c r="B22" s="65">
        <v>25.29</v>
      </c>
      <c r="C22" s="65">
        <v>25.8</v>
      </c>
      <c r="F22" s="35"/>
      <c r="G22" s="36"/>
      <c r="H22" s="37"/>
      <c r="I22" s="58"/>
    </row>
    <row r="23" spans="1:12" ht="16.5" thickBot="1">
      <c r="A23" s="31"/>
      <c r="B23" s="65">
        <v>25.12</v>
      </c>
      <c r="C23" s="65">
        <v>26.37</v>
      </c>
      <c r="F23" s="55" t="s">
        <v>43</v>
      </c>
      <c r="G23" s="55" t="s">
        <v>44</v>
      </c>
      <c r="H23" s="56" t="s">
        <v>45</v>
      </c>
      <c r="I23" s="61"/>
    </row>
    <row r="24" spans="1:12">
      <c r="A24" s="31"/>
      <c r="B24" s="65">
        <v>25.04</v>
      </c>
      <c r="C24" s="65">
        <v>25.58</v>
      </c>
      <c r="F24" s="42">
        <f>C18-C4</f>
        <v>-2.2799999999999976</v>
      </c>
      <c r="G24">
        <f>F24-F37</f>
        <v>1.2444444444444467</v>
      </c>
      <c r="H24" s="43">
        <f>POWER(2,G24)</f>
        <v>2.3692730023590771</v>
      </c>
    </row>
    <row r="25" spans="1:12">
      <c r="A25" s="31"/>
      <c r="B25" s="65">
        <v>25.05</v>
      </c>
      <c r="C25" s="65">
        <v>26.16</v>
      </c>
      <c r="F25" s="42">
        <f t="shared" ref="F25:F31" si="2">C19-C5</f>
        <v>-4.2900000000000027</v>
      </c>
      <c r="G25">
        <f>F25-F37</f>
        <v>-0.76555555555555843</v>
      </c>
      <c r="H25" s="43">
        <f t="shared" ref="H25:H32" si="3">POWER(2,G25)</f>
        <v>0.58822680957109141</v>
      </c>
    </row>
    <row r="26" spans="1:12">
      <c r="A26" s="31"/>
      <c r="B26" s="65">
        <v>25.38</v>
      </c>
      <c r="C26" s="65">
        <v>25.67</v>
      </c>
      <c r="F26" s="42">
        <f t="shared" si="2"/>
        <v>-4.2899999999999991</v>
      </c>
      <c r="G26">
        <f>F26-F37</f>
        <v>-0.76555555555555488</v>
      </c>
      <c r="H26" s="43">
        <f t="shared" si="3"/>
        <v>0.58822680957109286</v>
      </c>
    </row>
    <row r="27" spans="1:12">
      <c r="A27" s="31"/>
      <c r="B27" s="45"/>
      <c r="C27" s="45"/>
      <c r="F27" s="42">
        <f t="shared" si="2"/>
        <v>-2.9600000000000009</v>
      </c>
      <c r="G27">
        <f>F27-F37</f>
        <v>0.56444444444444342</v>
      </c>
      <c r="H27" s="43">
        <f t="shared" si="3"/>
        <v>1.478817933766335</v>
      </c>
    </row>
    <row r="28" spans="1:12">
      <c r="A28" s="31"/>
      <c r="B28" s="45"/>
      <c r="C28" s="45"/>
      <c r="F28" s="42">
        <f t="shared" si="2"/>
        <v>-4.2399999999999984</v>
      </c>
      <c r="G28">
        <f>F28-F37</f>
        <v>-0.71555555555555417</v>
      </c>
      <c r="H28" s="43">
        <f t="shared" si="3"/>
        <v>0.6089705832120742</v>
      </c>
    </row>
    <row r="29" spans="1:12">
      <c r="A29" s="31"/>
      <c r="B29" s="45"/>
      <c r="C29" s="45"/>
      <c r="F29" s="42">
        <f t="shared" si="2"/>
        <v>-2.9299999999999997</v>
      </c>
      <c r="G29">
        <f>F29-F37</f>
        <v>0.59444444444444455</v>
      </c>
      <c r="H29" s="43">
        <f t="shared" si="3"/>
        <v>1.5098910420886862</v>
      </c>
    </row>
    <row r="30" spans="1:12" ht="15.75" thickBot="1">
      <c r="A30" s="31"/>
      <c r="B30" s="47"/>
      <c r="C30" s="64"/>
      <c r="D30" s="57"/>
      <c r="F30" s="42">
        <f t="shared" si="2"/>
        <v>-4.3800000000000026</v>
      </c>
      <c r="G30">
        <f>F30-F37</f>
        <v>-0.85555555555555829</v>
      </c>
      <c r="H30" s="43">
        <f t="shared" si="3"/>
        <v>0.55265246928961897</v>
      </c>
    </row>
    <row r="31" spans="1:12">
      <c r="A31" s="31" t="s">
        <v>57</v>
      </c>
      <c r="B31" t="s">
        <v>58</v>
      </c>
      <c r="C31" t="s">
        <v>57</v>
      </c>
      <c r="D31" t="s">
        <v>58</v>
      </c>
      <c r="F31" s="42">
        <f t="shared" si="2"/>
        <v>-2.8200000000000003</v>
      </c>
      <c r="G31">
        <f>F31-F37</f>
        <v>0.70444444444444398</v>
      </c>
      <c r="H31" s="43">
        <f>POWER(2,G31)</f>
        <v>1.6295170466672042</v>
      </c>
    </row>
    <row r="32" spans="1:12">
      <c r="A32" s="31">
        <f>AVERAGE(B4:B6)</f>
        <v>28.066666666666666</v>
      </c>
      <c r="B32">
        <f>STDEV(B4:B6)</f>
        <v>0.66108496680330864</v>
      </c>
      <c r="C32" s="31">
        <f>AVERAGE(C4:C6)</f>
        <v>29.676666666666666</v>
      </c>
      <c r="D32">
        <f>STDEV(C4:C6)</f>
        <v>0.84618752846714473</v>
      </c>
      <c r="F32" s="42">
        <f>C26-C12</f>
        <v>-3.5299999999999976</v>
      </c>
      <c r="G32">
        <f>F32-F37</f>
        <v>-5.5555555555533154E-3</v>
      </c>
      <c r="H32" s="43">
        <f t="shared" si="3"/>
        <v>0.99615658722057687</v>
      </c>
    </row>
    <row r="33" spans="1:9">
      <c r="A33" s="31">
        <f>AVERAGE(B6:B8)</f>
        <v>27.626666666666665</v>
      </c>
      <c r="B33">
        <f>STDEV(B7:B9)</f>
        <v>0.64609080889092896</v>
      </c>
      <c r="C33" s="31">
        <f>AVERAGE(C7:C9)</f>
        <v>29.366666666666664</v>
      </c>
      <c r="D33">
        <f>STDEV(C7:C9)</f>
        <v>0.64259888992538083</v>
      </c>
      <c r="F33" s="42"/>
      <c r="H33" s="43"/>
    </row>
    <row r="34" spans="1:9">
      <c r="A34">
        <f>AVERAGE(B10:B12)</f>
        <v>28.373333333333335</v>
      </c>
      <c r="B34">
        <f>STDEV(B10:B12)</f>
        <v>0.62692370615038584</v>
      </c>
      <c r="C34">
        <f>AVERAGE(C10:C12)</f>
        <v>29.38</v>
      </c>
      <c r="D34">
        <f>STDEV(C10:C12)</f>
        <v>0.5141984052872981</v>
      </c>
      <c r="F34" s="42"/>
      <c r="H34" s="43"/>
    </row>
    <row r="35" spans="1:9" ht="15.75">
      <c r="E35" s="49"/>
      <c r="F35" s="42"/>
      <c r="H35" s="43"/>
    </row>
    <row r="36" spans="1:9">
      <c r="F36" s="42"/>
      <c r="H36" s="43"/>
    </row>
    <row r="37" spans="1:9" ht="15.75">
      <c r="E37" s="49" t="s">
        <v>59</v>
      </c>
      <c r="F37" s="50">
        <f>AVERAGE(F24:F35)</f>
        <v>-3.5244444444444443</v>
      </c>
      <c r="G37" s="51">
        <f>F37-F37</f>
        <v>0</v>
      </c>
      <c r="H37" s="52">
        <f>AVERAGE(H24:H36)</f>
        <v>1.1468591426384176</v>
      </c>
      <c r="I37">
        <f>LOG(H37,2)</f>
        <v>0.19768821027622041</v>
      </c>
    </row>
    <row r="38" spans="1:9">
      <c r="A38">
        <f>AVERAGE(B18:B20)</f>
        <v>25.533333333333331</v>
      </c>
      <c r="B38">
        <f>STDEV(B18:B20)</f>
        <v>0.11930353445448898</v>
      </c>
      <c r="C38">
        <f>AVERAGE(C18:C20)</f>
        <v>26.056666666666668</v>
      </c>
      <c r="D38">
        <f>STDEV(C18:C20)</f>
        <v>0.31564748269760345</v>
      </c>
      <c r="E38" s="43"/>
      <c r="F38" s="50"/>
      <c r="G38" s="51"/>
      <c r="H38" s="52"/>
    </row>
    <row r="39" spans="1:9" ht="15.75" thickBot="1">
      <c r="A39">
        <f>AVERAGE(B21:B23)</f>
        <v>25.256666666666664</v>
      </c>
      <c r="B39">
        <f>STDEV(B21:B23)</f>
        <v>0.12342339054382322</v>
      </c>
      <c r="C39">
        <f>AVERAGE(C21:C23)</f>
        <v>25.99</v>
      </c>
      <c r="D39">
        <f>STDEV(C21:C23)</f>
        <v>0.32908965343808683</v>
      </c>
      <c r="E39" t="s">
        <v>42</v>
      </c>
      <c r="F39" s="53">
        <f>STDEV(F24:F36)</f>
        <v>0.80101671504268857</v>
      </c>
      <c r="G39" s="53"/>
      <c r="H39" s="54">
        <f>STDEV(H24:H36)</f>
        <v>0.63821040771286219</v>
      </c>
      <c r="I39">
        <f>(H39/(SQRT(9))/2)</f>
        <v>0.10636840128547703</v>
      </c>
    </row>
    <row r="40" spans="1:9">
      <c r="A40">
        <f>AVERAGE(B24:B26)</f>
        <v>25.156666666666666</v>
      </c>
      <c r="B40">
        <f>STDEV(B24:B26)</f>
        <v>0.19347695814575216</v>
      </c>
      <c r="C40">
        <f>AVERAGE(C24:C26)</f>
        <v>25.803333333333331</v>
      </c>
      <c r="D40">
        <f>STDEV(C24:C26)</f>
        <v>0.31214312956291945</v>
      </c>
    </row>
    <row r="41" spans="1:9">
      <c r="G41" t="s">
        <v>60</v>
      </c>
      <c r="H41">
        <f>H37/H17</f>
        <v>1.0563313022697123</v>
      </c>
    </row>
  </sheetData>
  <pageMargins left="0.7" right="0.7" top="0.75" bottom="0.75" header="0.3" footer="0.3"/>
  <pageSetup scale="99" orientation="portrait" r:id="rId1"/>
  <colBreaks count="1" manualBreakCount="1">
    <brk id="6" max="40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5"/>
  <sheetViews>
    <sheetView tabSelected="1" workbookViewId="0">
      <selection activeCell="B2" sqref="B2"/>
    </sheetView>
  </sheetViews>
  <sheetFormatPr defaultColWidth="10.88671875" defaultRowHeight="15"/>
  <cols>
    <col min="1" max="9" width="10.88671875" customWidth="1"/>
    <col min="10" max="10" width="9.77734375" bestFit="1" customWidth="1"/>
    <col min="11" max="21" width="10.88671875" customWidth="1"/>
    <col min="22" max="22" width="13.5546875" customWidth="1"/>
    <col min="23" max="25" width="10.88671875" customWidth="1"/>
    <col min="26" max="26" width="13" customWidth="1"/>
  </cols>
  <sheetData>
    <row r="1" spans="1:28" ht="15.75">
      <c r="A1" s="3" t="s">
        <v>62</v>
      </c>
      <c r="C1" t="s">
        <v>63</v>
      </c>
      <c r="K1" s="3" t="s">
        <v>27</v>
      </c>
    </row>
    <row r="2" spans="1:28" s="3" customFormat="1" ht="15.75">
      <c r="A2" s="3" t="s">
        <v>68</v>
      </c>
      <c r="B2" s="3" t="s">
        <v>67</v>
      </c>
      <c r="C2" s="3" t="s">
        <v>69</v>
      </c>
      <c r="D2" s="3" t="s">
        <v>70</v>
      </c>
      <c r="E2" s="3" t="s">
        <v>71</v>
      </c>
      <c r="F2" s="3" t="s">
        <v>72</v>
      </c>
      <c r="G2" s="3" t="s">
        <v>73</v>
      </c>
      <c r="H2" s="3" t="s">
        <v>28</v>
      </c>
      <c r="I2" s="3" t="s">
        <v>74</v>
      </c>
      <c r="J2" s="3" t="s">
        <v>29</v>
      </c>
      <c r="K2" s="3" t="s">
        <v>68</v>
      </c>
      <c r="L2" s="3" t="s">
        <v>67</v>
      </c>
      <c r="M2" s="3" t="s">
        <v>69</v>
      </c>
      <c r="N2" s="3" t="s">
        <v>70</v>
      </c>
      <c r="O2" s="3" t="s">
        <v>71</v>
      </c>
      <c r="P2" s="3" t="s">
        <v>72</v>
      </c>
      <c r="Q2" s="3" t="s">
        <v>73</v>
      </c>
      <c r="R2" s="3" t="s">
        <v>28</v>
      </c>
      <c r="S2" s="3" t="s">
        <v>74</v>
      </c>
      <c r="T2" s="3" t="s">
        <v>29</v>
      </c>
      <c r="U2" s="3" t="s">
        <v>2</v>
      </c>
      <c r="V2" s="4" t="s">
        <v>59</v>
      </c>
      <c r="W2" s="3" t="s">
        <v>31</v>
      </c>
      <c r="X2" s="3" t="s">
        <v>32</v>
      </c>
      <c r="Y2" s="3" t="s">
        <v>8</v>
      </c>
      <c r="Z2" s="4" t="s">
        <v>59</v>
      </c>
      <c r="AA2" s="3" t="s">
        <v>31</v>
      </c>
      <c r="AB2" s="3" t="s">
        <v>32</v>
      </c>
    </row>
    <row r="3" spans="1:28">
      <c r="A3" s="5">
        <v>1</v>
      </c>
      <c r="B3" s="5" t="s">
        <v>33</v>
      </c>
      <c r="C3" s="5">
        <v>89</v>
      </c>
      <c r="D3" s="5">
        <v>90</v>
      </c>
      <c r="E3" s="5">
        <v>70</v>
      </c>
      <c r="F3" s="5">
        <v>104</v>
      </c>
      <c r="G3" s="5">
        <v>68</v>
      </c>
      <c r="H3" s="5">
        <f>SUM(C3:G3)</f>
        <v>421</v>
      </c>
      <c r="I3">
        <f>AVERAGE(C3:G3)</f>
        <v>84.2</v>
      </c>
      <c r="J3">
        <f>STDEV(C3:G3)</f>
        <v>15.10629008062538</v>
      </c>
      <c r="K3" s="5">
        <v>1</v>
      </c>
      <c r="L3" s="5" t="s">
        <v>33</v>
      </c>
      <c r="M3" s="5">
        <v>180</v>
      </c>
      <c r="N3" s="5">
        <v>162</v>
      </c>
      <c r="O3" s="5">
        <v>100</v>
      </c>
      <c r="P3" s="5">
        <v>100</v>
      </c>
      <c r="Q3" s="5">
        <v>97</v>
      </c>
      <c r="R3" s="5">
        <f>SUM(M3:Q3)</f>
        <v>639</v>
      </c>
      <c r="S3">
        <f>AVERAGE(M3:Q3)</f>
        <v>127.8</v>
      </c>
      <c r="T3">
        <f>_xlfn.STDEV.S(M3:Q3)</f>
        <v>39.964984674086899</v>
      </c>
      <c r="U3" t="s">
        <v>33</v>
      </c>
      <c r="V3">
        <f>AVERAGE(H3,H15,H19,H7)</f>
        <v>320.75</v>
      </c>
      <c r="W3">
        <f>STDEV(H3,H11,H15,H19)</f>
        <v>9.9121138007995047</v>
      </c>
      <c r="X3">
        <f>W3/SQRT(5)</f>
        <v>4.4328320518603004</v>
      </c>
      <c r="Y3" t="s">
        <v>33</v>
      </c>
      <c r="Z3">
        <f>AVERAGE(R3,R7,R11,R15,R19)</f>
        <v>639.4</v>
      </c>
      <c r="AA3">
        <f>STDEV(R3,R7,R11,R15,R19)</f>
        <v>6.8044103344815996</v>
      </c>
      <c r="AB3">
        <f>AA3/SQRT(5)</f>
        <v>3.0430248109405875</v>
      </c>
    </row>
    <row r="4" spans="1:28">
      <c r="A4" s="5">
        <v>1</v>
      </c>
      <c r="B4" s="5" t="s">
        <v>65</v>
      </c>
      <c r="C4" s="5">
        <v>0</v>
      </c>
      <c r="D4" s="5">
        <v>3</v>
      </c>
      <c r="E4" s="5">
        <v>2</v>
      </c>
      <c r="F4" s="5">
        <v>2</v>
      </c>
      <c r="G4" s="5">
        <v>0</v>
      </c>
      <c r="H4" s="5">
        <f t="shared" ref="H4:H14" si="0">SUM(C4:G4)</f>
        <v>7</v>
      </c>
      <c r="I4">
        <f>AVERAGE(C4:G4)</f>
        <v>1.4</v>
      </c>
      <c r="J4">
        <f t="shared" ref="J4:J14" si="1">_xlfn.STDEV.S(C4:G4)</f>
        <v>1.3416407864998738</v>
      </c>
      <c r="K4" s="5">
        <v>1</v>
      </c>
      <c r="L4" s="5" t="s">
        <v>65</v>
      </c>
      <c r="M4" s="5">
        <v>10</v>
      </c>
      <c r="N4" s="5">
        <v>4</v>
      </c>
      <c r="O4" s="5">
        <v>4</v>
      </c>
      <c r="P4" s="5">
        <v>4</v>
      </c>
      <c r="Q4" s="5">
        <v>2</v>
      </c>
      <c r="R4" s="5">
        <f t="shared" ref="R4:R14" si="2">SUM(M4:Q4)</f>
        <v>24</v>
      </c>
      <c r="S4">
        <f t="shared" ref="S4:S13" si="3">AVERAGE(M4:Q4)</f>
        <v>4.8</v>
      </c>
      <c r="T4">
        <f t="shared" ref="T4:T14" si="4">_xlfn.STDEV.S(M4:Q4)</f>
        <v>3.03315017762062</v>
      </c>
      <c r="U4" t="s">
        <v>65</v>
      </c>
      <c r="V4">
        <f>AVERAGE(H4,H12,H16,H20,H8)</f>
        <v>6.8</v>
      </c>
      <c r="W4">
        <f>STDEV(H4,H12,H16,H20,H8)</f>
        <v>4.0865633483405102</v>
      </c>
      <c r="X4">
        <f>W4/SQRT(5)</f>
        <v>1.8275666882497066</v>
      </c>
      <c r="Y4" t="s">
        <v>65</v>
      </c>
      <c r="Z4">
        <f>AVERAGE(R4,R8,R12,R16,R20)</f>
        <v>21.8</v>
      </c>
      <c r="AA4">
        <f>STDEV(R4,R8,R16,R20,R12)</f>
        <v>2.8635642126552785</v>
      </c>
      <c r="AB4">
        <f>AA4/SQRT(5)</f>
        <v>1.2806248474865731</v>
      </c>
    </row>
    <row r="5" spans="1:28">
      <c r="A5" s="5">
        <v>1</v>
      </c>
      <c r="B5" s="5" t="s">
        <v>35</v>
      </c>
      <c r="C5" s="5">
        <v>2</v>
      </c>
      <c r="D5" s="5">
        <v>1</v>
      </c>
      <c r="E5" s="5">
        <v>0</v>
      </c>
      <c r="F5" s="5"/>
      <c r="G5" s="5">
        <v>0</v>
      </c>
      <c r="H5" s="5">
        <f t="shared" si="0"/>
        <v>3</v>
      </c>
      <c r="I5">
        <f>AVERAGE(C5:G5)</f>
        <v>0.75</v>
      </c>
      <c r="J5">
        <f t="shared" si="1"/>
        <v>0.9574271077563381</v>
      </c>
      <c r="K5" s="5">
        <v>1</v>
      </c>
      <c r="L5" s="5" t="s">
        <v>35</v>
      </c>
      <c r="M5" s="5">
        <v>1</v>
      </c>
      <c r="N5" s="5">
        <v>2</v>
      </c>
      <c r="O5" s="5">
        <v>3</v>
      </c>
      <c r="P5" s="5">
        <v>2</v>
      </c>
      <c r="Q5" s="5">
        <v>2</v>
      </c>
      <c r="R5" s="5">
        <f t="shared" si="2"/>
        <v>10</v>
      </c>
      <c r="S5">
        <f t="shared" si="3"/>
        <v>2</v>
      </c>
      <c r="T5">
        <f t="shared" si="4"/>
        <v>0.70710678118654757</v>
      </c>
      <c r="U5" t="s">
        <v>35</v>
      </c>
      <c r="V5">
        <f>AVERAGE(H5,H13,H17,H21,H9)</f>
        <v>2.6</v>
      </c>
      <c r="W5">
        <f>STDEV(H5,H13,H17,H21,H9)</f>
        <v>1.5165750888103104</v>
      </c>
      <c r="X5">
        <f>W5/SQRT(5)</f>
        <v>0.67823299831252692</v>
      </c>
      <c r="Y5" t="s">
        <v>35</v>
      </c>
      <c r="Z5">
        <f>AVERAGE(R5,R9,R13,R17,R21)</f>
        <v>13.4</v>
      </c>
      <c r="AA5">
        <f>_xlfn.STDEV.S(R5,R9,R13,R17,R21)</f>
        <v>4.3358966777357608</v>
      </c>
      <c r="AB5">
        <f>AA5/SQRT(5)</f>
        <v>1.939071942966532</v>
      </c>
    </row>
    <row r="6" spans="1:28">
      <c r="A6" s="5">
        <v>1</v>
      </c>
      <c r="B6" s="5" t="s">
        <v>66</v>
      </c>
      <c r="C6" s="5">
        <v>0</v>
      </c>
      <c r="D6" s="5">
        <v>1</v>
      </c>
      <c r="E6" s="5">
        <v>0</v>
      </c>
      <c r="F6" s="5"/>
      <c r="G6" s="5">
        <v>0</v>
      </c>
      <c r="H6" s="5">
        <f t="shared" si="0"/>
        <v>1</v>
      </c>
      <c r="I6">
        <f t="shared" ref="I6:I14" si="5">AVERAGE(C6:G6)</f>
        <v>0.25</v>
      </c>
      <c r="J6">
        <f t="shared" si="1"/>
        <v>0.5</v>
      </c>
      <c r="K6" s="5">
        <v>1</v>
      </c>
      <c r="L6" s="5" t="s">
        <v>66</v>
      </c>
      <c r="M6" s="5">
        <v>8</v>
      </c>
      <c r="N6" s="5">
        <v>10</v>
      </c>
      <c r="O6" s="5">
        <v>9</v>
      </c>
      <c r="P6" s="5">
        <v>7</v>
      </c>
      <c r="Q6" s="5">
        <v>7</v>
      </c>
      <c r="R6" s="5">
        <f t="shared" si="2"/>
        <v>41</v>
      </c>
      <c r="S6">
        <f t="shared" si="3"/>
        <v>8.1999999999999993</v>
      </c>
      <c r="T6">
        <f t="shared" si="4"/>
        <v>1.3038404810405309</v>
      </c>
      <c r="U6" t="s">
        <v>66</v>
      </c>
      <c r="V6">
        <f>AVERAGE(H6,H14,H18,H22,H10)</f>
        <v>1.6</v>
      </c>
      <c r="W6">
        <f>STDEV(H6,H14,H18,H22,H10)</f>
        <v>1.3416407864998738</v>
      </c>
      <c r="X6">
        <f>W6/SQRT(5)</f>
        <v>0.6</v>
      </c>
      <c r="Y6" t="s">
        <v>66</v>
      </c>
      <c r="Z6">
        <f>AVERAGE(R6,R10,R14,R18,R22)</f>
        <v>41.4</v>
      </c>
      <c r="AA6">
        <f>_xlfn.STDEV.S(R6,R10,R14,R18,R22)</f>
        <v>7.0213958726167967</v>
      </c>
      <c r="AB6">
        <f>AA6/SQRT(5)</f>
        <v>3.140063693621522</v>
      </c>
    </row>
    <row r="7" spans="1:28">
      <c r="A7" s="6">
        <v>2</v>
      </c>
      <c r="B7" s="6" t="s">
        <v>33</v>
      </c>
      <c r="C7" s="6">
        <v>0</v>
      </c>
      <c r="D7" s="6">
        <v>20</v>
      </c>
      <c r="E7" s="6">
        <v>0</v>
      </c>
      <c r="F7" s="6">
        <v>30</v>
      </c>
      <c r="G7" s="6">
        <v>0</v>
      </c>
      <c r="H7" s="6">
        <f t="shared" si="0"/>
        <v>50</v>
      </c>
      <c r="I7">
        <f t="shared" si="5"/>
        <v>10</v>
      </c>
      <c r="J7">
        <f t="shared" si="1"/>
        <v>14.142135623730951</v>
      </c>
      <c r="K7" s="6">
        <v>2</v>
      </c>
      <c r="L7" s="6" t="s">
        <v>33</v>
      </c>
      <c r="M7" s="6">
        <v>130</v>
      </c>
      <c r="N7" s="6">
        <v>160</v>
      </c>
      <c r="O7" s="6">
        <v>150</v>
      </c>
      <c r="P7" s="6">
        <v>98</v>
      </c>
      <c r="Q7" s="6">
        <v>100</v>
      </c>
      <c r="R7" s="6">
        <f t="shared" si="2"/>
        <v>638</v>
      </c>
      <c r="S7">
        <f t="shared" si="3"/>
        <v>127.6</v>
      </c>
      <c r="T7">
        <f t="shared" si="4"/>
        <v>28.263050083103192</v>
      </c>
    </row>
    <row r="8" spans="1:28">
      <c r="A8" s="6">
        <v>2</v>
      </c>
      <c r="B8" s="6" t="s">
        <v>65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f t="shared" si="0"/>
        <v>0</v>
      </c>
      <c r="I8">
        <f t="shared" si="5"/>
        <v>0</v>
      </c>
      <c r="J8">
        <f t="shared" si="1"/>
        <v>0</v>
      </c>
      <c r="K8" s="6">
        <v>2</v>
      </c>
      <c r="L8" s="6" t="s">
        <v>65</v>
      </c>
      <c r="M8" s="6">
        <v>3</v>
      </c>
      <c r="N8" s="6">
        <v>4</v>
      </c>
      <c r="O8" s="6">
        <v>4</v>
      </c>
      <c r="P8" s="6">
        <v>7</v>
      </c>
      <c r="Q8" s="6">
        <v>4</v>
      </c>
      <c r="R8" s="6">
        <f t="shared" si="2"/>
        <v>22</v>
      </c>
      <c r="S8">
        <f t="shared" si="3"/>
        <v>4.4000000000000004</v>
      </c>
      <c r="T8">
        <f t="shared" si="4"/>
        <v>1.5165750888103104</v>
      </c>
      <c r="U8" t="s">
        <v>2</v>
      </c>
      <c r="V8" t="s">
        <v>30</v>
      </c>
      <c r="W8" t="s">
        <v>32</v>
      </c>
      <c r="X8" t="s">
        <v>8</v>
      </c>
      <c r="Y8" t="s">
        <v>30</v>
      </c>
      <c r="Z8" t="s">
        <v>32</v>
      </c>
    </row>
    <row r="9" spans="1:28">
      <c r="A9" s="6">
        <v>2</v>
      </c>
      <c r="B9" s="6" t="s">
        <v>35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f t="shared" si="0"/>
        <v>0</v>
      </c>
      <c r="I9">
        <f t="shared" si="5"/>
        <v>0</v>
      </c>
      <c r="J9">
        <f t="shared" si="1"/>
        <v>0</v>
      </c>
      <c r="K9" s="6">
        <v>2</v>
      </c>
      <c r="L9" s="6" t="s">
        <v>35</v>
      </c>
      <c r="M9" s="6">
        <v>1</v>
      </c>
      <c r="N9" s="6">
        <v>3</v>
      </c>
      <c r="O9" s="6">
        <v>3</v>
      </c>
      <c r="P9" s="6">
        <v>5</v>
      </c>
      <c r="Q9" s="6">
        <v>6</v>
      </c>
      <c r="R9" s="6">
        <f t="shared" si="2"/>
        <v>18</v>
      </c>
      <c r="S9">
        <f t="shared" si="3"/>
        <v>3.6</v>
      </c>
      <c r="T9">
        <f t="shared" si="4"/>
        <v>1.9493588689617929</v>
      </c>
      <c r="U9" t="s">
        <v>33</v>
      </c>
      <c r="V9">
        <v>336.2</v>
      </c>
      <c r="W9">
        <v>71.652913409016406</v>
      </c>
      <c r="X9" t="s">
        <v>33</v>
      </c>
      <c r="Y9">
        <v>639.4</v>
      </c>
      <c r="Z9">
        <v>3.0430248109405875</v>
      </c>
    </row>
    <row r="10" spans="1:28">
      <c r="A10" s="6">
        <v>2</v>
      </c>
      <c r="B10" s="6" t="s">
        <v>66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f t="shared" si="0"/>
        <v>0</v>
      </c>
      <c r="I10">
        <f t="shared" si="5"/>
        <v>0</v>
      </c>
      <c r="J10">
        <f t="shared" si="1"/>
        <v>0</v>
      </c>
      <c r="K10" s="6">
        <v>2</v>
      </c>
      <c r="L10" s="6" t="s">
        <v>66</v>
      </c>
      <c r="M10" s="6">
        <v>6</v>
      </c>
      <c r="N10" s="6">
        <v>13</v>
      </c>
      <c r="O10" s="6">
        <v>12</v>
      </c>
      <c r="P10" s="6">
        <v>10</v>
      </c>
      <c r="Q10" s="6">
        <v>7</v>
      </c>
      <c r="R10" s="6">
        <f t="shared" si="2"/>
        <v>48</v>
      </c>
      <c r="S10">
        <f t="shared" si="3"/>
        <v>9.6</v>
      </c>
      <c r="T10">
        <f t="shared" si="4"/>
        <v>3.0495901363953806</v>
      </c>
      <c r="U10" t="s">
        <v>65</v>
      </c>
      <c r="V10">
        <v>6.8</v>
      </c>
      <c r="W10">
        <v>1.8275666882497066</v>
      </c>
      <c r="X10" t="s">
        <v>34</v>
      </c>
      <c r="Y10">
        <v>21.8</v>
      </c>
      <c r="Z10">
        <v>1.2806248474865731</v>
      </c>
    </row>
    <row r="11" spans="1:28">
      <c r="A11" s="7">
        <v>3</v>
      </c>
      <c r="B11" s="7" t="s">
        <v>33</v>
      </c>
      <c r="C11" s="7">
        <v>50</v>
      </c>
      <c r="D11" s="7">
        <v>90</v>
      </c>
      <c r="E11" s="7">
        <v>96</v>
      </c>
      <c r="F11" s="7">
        <v>92</v>
      </c>
      <c r="G11" s="7">
        <v>70</v>
      </c>
      <c r="H11" s="7">
        <f t="shared" si="0"/>
        <v>398</v>
      </c>
      <c r="I11">
        <f t="shared" si="5"/>
        <v>79.599999999999994</v>
      </c>
      <c r="J11">
        <f>_xlfn.STDEV.S(C11:G11)</f>
        <v>19.359752064528102</v>
      </c>
      <c r="K11" s="7">
        <v>3</v>
      </c>
      <c r="L11" s="7" t="s">
        <v>33</v>
      </c>
      <c r="M11" s="7">
        <v>145</v>
      </c>
      <c r="N11" s="7">
        <v>126</v>
      </c>
      <c r="O11" s="7">
        <v>120</v>
      </c>
      <c r="P11" s="7">
        <v>110</v>
      </c>
      <c r="Q11" s="7">
        <v>130</v>
      </c>
      <c r="R11" s="7">
        <f t="shared" si="2"/>
        <v>631</v>
      </c>
      <c r="S11">
        <f t="shared" si="3"/>
        <v>126.2</v>
      </c>
      <c r="T11">
        <f t="shared" si="4"/>
        <v>12.930583900195691</v>
      </c>
      <c r="U11" t="s">
        <v>35</v>
      </c>
      <c r="V11">
        <v>2.6</v>
      </c>
      <c r="W11">
        <v>0.67823299831252692</v>
      </c>
      <c r="X11" t="s">
        <v>35</v>
      </c>
      <c r="Y11">
        <v>13.4</v>
      </c>
      <c r="Z11">
        <v>1.939071942966532</v>
      </c>
    </row>
    <row r="12" spans="1:28">
      <c r="A12" s="7">
        <v>3</v>
      </c>
      <c r="B12" s="7" t="s">
        <v>65</v>
      </c>
      <c r="C12" s="7">
        <v>0</v>
      </c>
      <c r="D12" s="7">
        <v>3</v>
      </c>
      <c r="E12" s="7">
        <v>2</v>
      </c>
      <c r="F12" s="7">
        <v>2</v>
      </c>
      <c r="G12" s="7">
        <v>3</v>
      </c>
      <c r="H12" s="7">
        <f t="shared" si="0"/>
        <v>10</v>
      </c>
      <c r="I12">
        <f t="shared" si="5"/>
        <v>2</v>
      </c>
      <c r="J12">
        <f t="shared" si="1"/>
        <v>1.2247448713915889</v>
      </c>
      <c r="K12" s="7">
        <v>3</v>
      </c>
      <c r="L12" s="7" t="s">
        <v>65</v>
      </c>
      <c r="M12" s="7">
        <v>3</v>
      </c>
      <c r="N12" s="7">
        <v>2</v>
      </c>
      <c r="O12" s="7">
        <v>5</v>
      </c>
      <c r="P12" s="7">
        <v>2</v>
      </c>
      <c r="Q12" s="7">
        <v>5</v>
      </c>
      <c r="R12" s="7">
        <f t="shared" si="2"/>
        <v>17</v>
      </c>
      <c r="S12">
        <f t="shared" si="3"/>
        <v>3.4</v>
      </c>
      <c r="T12">
        <f t="shared" si="4"/>
        <v>1.5165750888103104</v>
      </c>
      <c r="U12" t="s">
        <v>66</v>
      </c>
      <c r="V12">
        <v>1.6</v>
      </c>
      <c r="W12">
        <v>0.6</v>
      </c>
      <c r="X12" t="s">
        <v>36</v>
      </c>
      <c r="Y12">
        <v>41.4</v>
      </c>
      <c r="Z12">
        <v>3.140063693621522</v>
      </c>
    </row>
    <row r="13" spans="1:28">
      <c r="A13" s="7">
        <v>3</v>
      </c>
      <c r="B13" s="7" t="s">
        <v>35</v>
      </c>
      <c r="C13" s="7">
        <v>0</v>
      </c>
      <c r="D13" s="7">
        <v>0</v>
      </c>
      <c r="E13" s="7">
        <v>1</v>
      </c>
      <c r="F13" s="7">
        <v>2</v>
      </c>
      <c r="G13" s="7">
        <v>0</v>
      </c>
      <c r="H13" s="7">
        <f t="shared" si="0"/>
        <v>3</v>
      </c>
      <c r="I13">
        <f t="shared" si="5"/>
        <v>0.6</v>
      </c>
      <c r="J13">
        <f t="shared" si="1"/>
        <v>0.89442719099991586</v>
      </c>
      <c r="K13" s="7">
        <v>3</v>
      </c>
      <c r="L13" s="7" t="s">
        <v>35</v>
      </c>
      <c r="M13" s="7">
        <v>2</v>
      </c>
      <c r="N13" s="7">
        <v>1</v>
      </c>
      <c r="O13" s="7">
        <v>5</v>
      </c>
      <c r="P13" s="7">
        <v>3</v>
      </c>
      <c r="Q13" s="7">
        <v>1</v>
      </c>
      <c r="R13" s="7">
        <f t="shared" si="2"/>
        <v>12</v>
      </c>
      <c r="S13">
        <f t="shared" si="3"/>
        <v>2.4</v>
      </c>
      <c r="T13">
        <f t="shared" si="4"/>
        <v>1.6733200530681511</v>
      </c>
    </row>
    <row r="14" spans="1:28">
      <c r="A14" s="7">
        <v>3</v>
      </c>
      <c r="B14" s="7" t="s">
        <v>66</v>
      </c>
      <c r="C14" s="7">
        <v>0</v>
      </c>
      <c r="D14" s="7">
        <v>0</v>
      </c>
      <c r="E14" s="7">
        <v>0</v>
      </c>
      <c r="F14" s="7">
        <v>2</v>
      </c>
      <c r="G14" s="7">
        <v>1</v>
      </c>
      <c r="H14" s="7">
        <f t="shared" si="0"/>
        <v>3</v>
      </c>
      <c r="I14">
        <f t="shared" si="5"/>
        <v>0.6</v>
      </c>
      <c r="J14">
        <f t="shared" si="1"/>
        <v>0.89442719099991586</v>
      </c>
      <c r="K14" s="7">
        <v>3</v>
      </c>
      <c r="L14" s="7" t="s">
        <v>66</v>
      </c>
      <c r="M14" s="7">
        <v>8</v>
      </c>
      <c r="N14" s="7">
        <v>8</v>
      </c>
      <c r="O14" s="7">
        <v>5</v>
      </c>
      <c r="P14" s="7">
        <v>10</v>
      </c>
      <c r="Q14" s="7">
        <v>3</v>
      </c>
      <c r="R14" s="7">
        <f t="shared" si="2"/>
        <v>34</v>
      </c>
      <c r="S14">
        <f>AVERAGE(M14:Q14)</f>
        <v>6.8</v>
      </c>
      <c r="T14">
        <f t="shared" si="4"/>
        <v>2.7748873851023221</v>
      </c>
    </row>
    <row r="15" spans="1:28">
      <c r="A15" s="8">
        <v>4</v>
      </c>
      <c r="B15" s="8" t="s">
        <v>33</v>
      </c>
      <c r="C15" s="8">
        <v>40</v>
      </c>
      <c r="D15" s="8">
        <v>90</v>
      </c>
      <c r="E15" s="8">
        <v>90</v>
      </c>
      <c r="F15" s="8">
        <v>89</v>
      </c>
      <c r="G15" s="8">
        <v>94</v>
      </c>
      <c r="H15" s="8">
        <f>SUM(C15:G15)</f>
        <v>403</v>
      </c>
      <c r="K15" s="8">
        <v>1</v>
      </c>
      <c r="L15" s="8" t="s">
        <v>33</v>
      </c>
      <c r="M15" s="8">
        <v>180</v>
      </c>
      <c r="N15" s="8">
        <v>162</v>
      </c>
      <c r="O15" s="8">
        <v>100</v>
      </c>
      <c r="P15" s="8">
        <v>100</v>
      </c>
      <c r="Q15" s="8">
        <v>97</v>
      </c>
      <c r="R15" s="8">
        <f>SUM(M15:Q15)</f>
        <v>639</v>
      </c>
    </row>
    <row r="16" spans="1:28">
      <c r="A16" s="8">
        <v>4</v>
      </c>
      <c r="B16" s="8" t="s">
        <v>65</v>
      </c>
      <c r="C16" s="8">
        <v>2</v>
      </c>
      <c r="D16" s="8">
        <v>3</v>
      </c>
      <c r="E16" s="8">
        <v>2</v>
      </c>
      <c r="F16" s="8">
        <v>0</v>
      </c>
      <c r="G16" s="8">
        <v>0</v>
      </c>
      <c r="H16" s="8">
        <f t="shared" ref="H16:H22" si="6">SUM(C16:G16)</f>
        <v>7</v>
      </c>
      <c r="K16" s="8">
        <v>1</v>
      </c>
      <c r="L16" s="8" t="s">
        <v>65</v>
      </c>
      <c r="M16" s="8">
        <v>10</v>
      </c>
      <c r="N16" s="8">
        <v>4</v>
      </c>
      <c r="O16" s="8">
        <v>4</v>
      </c>
      <c r="P16" s="8">
        <v>4</v>
      </c>
      <c r="Q16" s="8">
        <v>2</v>
      </c>
      <c r="R16" s="8">
        <f t="shared" ref="R16:R22" si="7">SUM(M16:Q16)</f>
        <v>24</v>
      </c>
    </row>
    <row r="17" spans="1:28">
      <c r="A17" s="8">
        <v>4</v>
      </c>
      <c r="B17" s="8" t="s">
        <v>35</v>
      </c>
      <c r="C17" s="8">
        <v>2</v>
      </c>
      <c r="D17" s="8">
        <v>1</v>
      </c>
      <c r="E17" s="8">
        <v>0</v>
      </c>
      <c r="F17" s="8"/>
      <c r="G17" s="8">
        <v>0</v>
      </c>
      <c r="H17" s="8">
        <f t="shared" si="6"/>
        <v>3</v>
      </c>
      <c r="K17" s="8">
        <v>1</v>
      </c>
      <c r="L17" s="8" t="s">
        <v>35</v>
      </c>
      <c r="M17" s="8">
        <v>1</v>
      </c>
      <c r="N17" s="8">
        <v>0</v>
      </c>
      <c r="O17" s="8">
        <v>4</v>
      </c>
      <c r="P17" s="8">
        <v>2</v>
      </c>
      <c r="Q17" s="8">
        <v>2</v>
      </c>
      <c r="R17" s="8">
        <f t="shared" si="7"/>
        <v>9</v>
      </c>
    </row>
    <row r="18" spans="1:28">
      <c r="A18" s="8">
        <v>4</v>
      </c>
      <c r="B18" s="8" t="s">
        <v>66</v>
      </c>
      <c r="C18" s="8">
        <v>0</v>
      </c>
      <c r="D18" s="8">
        <v>1</v>
      </c>
      <c r="E18" s="8">
        <v>0</v>
      </c>
      <c r="F18" s="8"/>
      <c r="G18" s="8">
        <v>0</v>
      </c>
      <c r="H18" s="8">
        <f t="shared" si="6"/>
        <v>1</v>
      </c>
      <c r="K18" s="8">
        <v>1</v>
      </c>
      <c r="L18" s="8" t="s">
        <v>66</v>
      </c>
      <c r="M18" s="8">
        <v>8</v>
      </c>
      <c r="N18" s="8">
        <v>10</v>
      </c>
      <c r="O18" s="8">
        <v>5</v>
      </c>
      <c r="P18" s="8">
        <v>7</v>
      </c>
      <c r="Q18" s="8">
        <v>5</v>
      </c>
      <c r="R18" s="8">
        <f t="shared" si="7"/>
        <v>35</v>
      </c>
      <c r="X18" s="1" t="s">
        <v>2</v>
      </c>
      <c r="Z18" s="1" t="s">
        <v>8</v>
      </c>
    </row>
    <row r="19" spans="1:28">
      <c r="A19" s="9">
        <v>5</v>
      </c>
      <c r="B19" s="9" t="s">
        <v>33</v>
      </c>
      <c r="C19" s="9">
        <v>89</v>
      </c>
      <c r="D19" s="9">
        <v>67</v>
      </c>
      <c r="E19" s="9">
        <v>70</v>
      </c>
      <c r="F19" s="9">
        <v>93</v>
      </c>
      <c r="G19" s="9">
        <v>90</v>
      </c>
      <c r="H19" s="9">
        <f t="shared" si="6"/>
        <v>409</v>
      </c>
      <c r="K19" s="9">
        <v>2</v>
      </c>
      <c r="L19" s="9" t="s">
        <v>33</v>
      </c>
      <c r="M19" s="9">
        <v>100</v>
      </c>
      <c r="N19" s="9">
        <v>160</v>
      </c>
      <c r="O19" s="9">
        <v>125</v>
      </c>
      <c r="P19" s="9">
        <v>150</v>
      </c>
      <c r="Q19" s="9">
        <v>115</v>
      </c>
      <c r="R19" s="9">
        <f t="shared" si="7"/>
        <v>650</v>
      </c>
      <c r="W19" s="1" t="s">
        <v>75</v>
      </c>
      <c r="X19" s="1">
        <f>V3/5</f>
        <v>64.150000000000006</v>
      </c>
      <c r="Z19" s="1">
        <f>Z3/5</f>
        <v>127.88</v>
      </c>
    </row>
    <row r="20" spans="1:28">
      <c r="A20" s="9">
        <v>5</v>
      </c>
      <c r="B20" s="9" t="s">
        <v>65</v>
      </c>
      <c r="C20" s="9">
        <v>0</v>
      </c>
      <c r="D20" s="9">
        <v>3</v>
      </c>
      <c r="E20" s="9">
        <v>2</v>
      </c>
      <c r="F20" s="9">
        <v>2</v>
      </c>
      <c r="G20" s="9">
        <v>3</v>
      </c>
      <c r="H20" s="9">
        <f t="shared" si="6"/>
        <v>10</v>
      </c>
      <c r="K20" s="9">
        <v>2</v>
      </c>
      <c r="L20" s="9" t="s">
        <v>65</v>
      </c>
      <c r="M20" s="9">
        <v>3</v>
      </c>
      <c r="N20" s="9">
        <v>4</v>
      </c>
      <c r="O20" s="9">
        <v>4</v>
      </c>
      <c r="P20" s="9">
        <v>7</v>
      </c>
      <c r="Q20" s="9">
        <v>4</v>
      </c>
      <c r="R20" s="9">
        <f t="shared" si="7"/>
        <v>22</v>
      </c>
    </row>
    <row r="21" spans="1:28">
      <c r="A21" s="9">
        <v>5</v>
      </c>
      <c r="B21" s="9" t="s">
        <v>35</v>
      </c>
      <c r="C21" s="9">
        <v>0</v>
      </c>
      <c r="D21" s="9">
        <v>0</v>
      </c>
      <c r="E21" s="9">
        <v>2</v>
      </c>
      <c r="F21" s="9">
        <v>0</v>
      </c>
      <c r="G21" s="9">
        <v>2</v>
      </c>
      <c r="H21" s="9">
        <f t="shared" si="6"/>
        <v>4</v>
      </c>
      <c r="K21" s="9">
        <v>2</v>
      </c>
      <c r="L21" s="9" t="s">
        <v>35</v>
      </c>
      <c r="M21" s="9">
        <v>2</v>
      </c>
      <c r="N21" s="9">
        <v>3</v>
      </c>
      <c r="O21" s="9">
        <v>3</v>
      </c>
      <c r="P21" s="9">
        <v>4</v>
      </c>
      <c r="Q21" s="9">
        <v>6</v>
      </c>
      <c r="R21" s="9">
        <f t="shared" si="7"/>
        <v>18</v>
      </c>
    </row>
    <row r="22" spans="1:28">
      <c r="A22" s="9">
        <v>5</v>
      </c>
      <c r="B22" s="9" t="s">
        <v>66</v>
      </c>
      <c r="C22" s="9">
        <v>0</v>
      </c>
      <c r="D22" s="9">
        <v>0</v>
      </c>
      <c r="E22" s="9">
        <v>0</v>
      </c>
      <c r="F22" s="9">
        <v>2</v>
      </c>
      <c r="G22" s="9">
        <v>1</v>
      </c>
      <c r="H22" s="9">
        <f t="shared" si="6"/>
        <v>3</v>
      </c>
      <c r="K22" s="9">
        <v>2</v>
      </c>
      <c r="L22" s="9" t="s">
        <v>66</v>
      </c>
      <c r="M22" s="9">
        <v>6</v>
      </c>
      <c r="N22" s="9">
        <v>15</v>
      </c>
      <c r="O22" s="9">
        <v>12</v>
      </c>
      <c r="P22" s="9">
        <v>9</v>
      </c>
      <c r="Q22" s="9">
        <v>7</v>
      </c>
      <c r="R22" s="9">
        <f t="shared" si="7"/>
        <v>49</v>
      </c>
    </row>
    <row r="24" spans="1:28" ht="15.75">
      <c r="A24" s="3" t="s">
        <v>62</v>
      </c>
      <c r="C24" t="s">
        <v>64</v>
      </c>
      <c r="K24" s="3" t="s">
        <v>27</v>
      </c>
    </row>
    <row r="25" spans="1:28" ht="15.75">
      <c r="A25" s="3" t="s">
        <v>68</v>
      </c>
      <c r="B25" s="3" t="s">
        <v>67</v>
      </c>
      <c r="C25" s="3" t="s">
        <v>69</v>
      </c>
      <c r="D25" s="3" t="s">
        <v>70</v>
      </c>
      <c r="E25" s="3" t="s">
        <v>71</v>
      </c>
      <c r="F25" s="3" t="s">
        <v>72</v>
      </c>
      <c r="G25" s="3" t="s">
        <v>73</v>
      </c>
      <c r="H25" s="3" t="s">
        <v>28</v>
      </c>
      <c r="I25" s="3" t="s">
        <v>74</v>
      </c>
      <c r="J25" s="3" t="s">
        <v>29</v>
      </c>
      <c r="K25" s="3" t="s">
        <v>68</v>
      </c>
      <c r="L25" s="3" t="s">
        <v>67</v>
      </c>
      <c r="M25" s="3" t="s">
        <v>69</v>
      </c>
      <c r="N25" s="3" t="s">
        <v>70</v>
      </c>
      <c r="O25" s="3" t="s">
        <v>71</v>
      </c>
      <c r="P25" s="3" t="s">
        <v>72</v>
      </c>
      <c r="Q25" s="3" t="s">
        <v>73</v>
      </c>
      <c r="R25" s="3" t="s">
        <v>28</v>
      </c>
      <c r="S25" s="3" t="s">
        <v>74</v>
      </c>
      <c r="T25" s="3" t="s">
        <v>29</v>
      </c>
      <c r="U25" s="3" t="s">
        <v>2</v>
      </c>
      <c r="V25" s="4" t="s">
        <v>59</v>
      </c>
      <c r="W25" s="3" t="s">
        <v>31</v>
      </c>
      <c r="X25" s="3" t="s">
        <v>32</v>
      </c>
      <c r="Y25" s="3" t="s">
        <v>8</v>
      </c>
      <c r="Z25" s="4" t="s">
        <v>59</v>
      </c>
      <c r="AA25" s="3" t="s">
        <v>31</v>
      </c>
      <c r="AB25" s="3" t="s">
        <v>32</v>
      </c>
    </row>
    <row r="26" spans="1:28" ht="15.75">
      <c r="A26" s="5">
        <v>1</v>
      </c>
      <c r="B26" s="5" t="s">
        <v>33</v>
      </c>
      <c r="C26" s="5">
        <v>50</v>
      </c>
      <c r="D26" s="5">
        <v>90</v>
      </c>
      <c r="E26" s="5">
        <v>50</v>
      </c>
      <c r="F26" s="5">
        <v>88</v>
      </c>
      <c r="G26" s="5">
        <v>45</v>
      </c>
      <c r="H26" s="5">
        <f>SUM(C26:G26)</f>
        <v>323</v>
      </c>
      <c r="I26" s="3">
        <f>AVERAGE(C26:G26)</f>
        <v>64.599999999999994</v>
      </c>
      <c r="J26" s="3">
        <f>_xlfn.STDEV.S(C26:G26)</f>
        <v>22.378561169118989</v>
      </c>
      <c r="K26" s="5">
        <v>1</v>
      </c>
      <c r="L26" s="5" t="s">
        <v>33</v>
      </c>
      <c r="M26" s="5">
        <v>80</v>
      </c>
      <c r="N26" s="5">
        <v>70</v>
      </c>
      <c r="O26" s="5">
        <v>62</v>
      </c>
      <c r="P26" s="5">
        <v>80</v>
      </c>
      <c r="Q26" s="5">
        <v>70</v>
      </c>
      <c r="R26" s="5">
        <f>SUM(M26:Q26)</f>
        <v>362</v>
      </c>
      <c r="S26" s="3">
        <f>AVERAGE(M26:Q26)</f>
        <v>72.400000000000006</v>
      </c>
      <c r="T26" s="3">
        <f>STDEV(M26:Q26)</f>
        <v>7.6681158050723255</v>
      </c>
      <c r="U26" t="s">
        <v>33</v>
      </c>
      <c r="V26">
        <f>AVERAGE(H26,H34,H42,H30,H38)</f>
        <v>243.6</v>
      </c>
      <c r="W26">
        <f>STDEV(H26,H34,H42)</f>
        <v>8.6602540378443873</v>
      </c>
      <c r="X26">
        <f>W26/SQRT(5)</f>
        <v>3.872983346207417</v>
      </c>
      <c r="Y26" t="s">
        <v>33</v>
      </c>
      <c r="Z26">
        <f>AVERAGE(R26,R30,R34,R38,R42)</f>
        <v>361.8</v>
      </c>
      <c r="AA26">
        <f>_xlfn.STDEV.S(R26,R30,R34,R38,R42)</f>
        <v>4.6043457732885349</v>
      </c>
      <c r="AB26">
        <f>AA26/SQRT(5)</f>
        <v>2.0591260281974</v>
      </c>
    </row>
    <row r="27" spans="1:28" ht="15.75">
      <c r="A27" s="5">
        <v>1</v>
      </c>
      <c r="B27" s="5" t="s">
        <v>65</v>
      </c>
      <c r="C27" s="5">
        <v>4</v>
      </c>
      <c r="D27" s="5">
        <v>10</v>
      </c>
      <c r="E27" s="5">
        <v>12</v>
      </c>
      <c r="F27" s="5">
        <v>15</v>
      </c>
      <c r="G27" s="5">
        <v>4</v>
      </c>
      <c r="H27" s="5">
        <f t="shared" ref="H27:H45" si="8">SUM(C27:G27)</f>
        <v>45</v>
      </c>
      <c r="I27" s="3">
        <f t="shared" ref="I27:I44" si="9">AVERAGE(C27:G27)</f>
        <v>9</v>
      </c>
      <c r="J27" s="3">
        <f t="shared" ref="J27:J45" si="10">_xlfn.STDEV.S(C27:G27)</f>
        <v>4.8989794855663558</v>
      </c>
      <c r="K27" s="5">
        <v>1</v>
      </c>
      <c r="L27" s="5" t="s">
        <v>65</v>
      </c>
      <c r="M27" s="5">
        <v>30</v>
      </c>
      <c r="N27" s="5">
        <v>20</v>
      </c>
      <c r="O27" s="5">
        <v>30</v>
      </c>
      <c r="P27" s="5">
        <v>20</v>
      </c>
      <c r="Q27" s="5">
        <v>23</v>
      </c>
      <c r="R27" s="5">
        <f t="shared" ref="R27:R41" si="11">SUM(M27:Q27)</f>
        <v>123</v>
      </c>
      <c r="S27" s="3">
        <f t="shared" ref="S27:S45" si="12">AVERAGE(M27:Q27)</f>
        <v>24.6</v>
      </c>
      <c r="T27" s="3">
        <f t="shared" ref="T27:T45" si="13">STDEV(M27:Q27)</f>
        <v>5.0793700396801134</v>
      </c>
      <c r="U27" t="s">
        <v>65</v>
      </c>
      <c r="V27">
        <f>AVERAGE(H27,H35,H43,H31,H39)</f>
        <v>26.2</v>
      </c>
      <c r="W27">
        <f>STDEV(H27,H35,H43,H31,H39)</f>
        <v>19.917329138215294</v>
      </c>
      <c r="X27">
        <f>W27/SQRT(5)</f>
        <v>8.9073003766573393</v>
      </c>
      <c r="Y27" t="s">
        <v>65</v>
      </c>
      <c r="Z27">
        <f>AVERAGE(R27,R31,R35,R39,R43)</f>
        <v>119.2</v>
      </c>
      <c r="AA27">
        <f>STDEV(R27,R31,R39,R43,R35)</f>
        <v>13.82750881395491</v>
      </c>
      <c r="AB27">
        <f>AA27/SQRT(5)</f>
        <v>6.1838499334961341</v>
      </c>
    </row>
    <row r="28" spans="1:28" ht="15.75">
      <c r="A28" s="5">
        <v>1</v>
      </c>
      <c r="B28" s="5" t="s">
        <v>35</v>
      </c>
      <c r="C28" s="5">
        <v>5</v>
      </c>
      <c r="D28" s="5">
        <v>8</v>
      </c>
      <c r="E28" s="5">
        <v>4</v>
      </c>
      <c r="F28" s="5">
        <v>2</v>
      </c>
      <c r="G28" s="5">
        <v>2</v>
      </c>
      <c r="H28" s="5">
        <f t="shared" si="8"/>
        <v>21</v>
      </c>
      <c r="I28" s="3">
        <f t="shared" si="9"/>
        <v>4.2</v>
      </c>
      <c r="J28" s="3">
        <f t="shared" si="10"/>
        <v>2.4899799195977463</v>
      </c>
      <c r="K28" s="5">
        <v>1</v>
      </c>
      <c r="L28" s="5" t="s">
        <v>35</v>
      </c>
      <c r="M28" s="5">
        <v>26</v>
      </c>
      <c r="N28" s="5">
        <v>27</v>
      </c>
      <c r="O28" s="5">
        <v>24</v>
      </c>
      <c r="P28" s="5">
        <v>29</v>
      </c>
      <c r="Q28" s="5">
        <v>28</v>
      </c>
      <c r="R28" s="5">
        <f t="shared" si="11"/>
        <v>134</v>
      </c>
      <c r="S28" s="3">
        <f t="shared" si="12"/>
        <v>26.8</v>
      </c>
      <c r="T28" s="3">
        <f t="shared" si="13"/>
        <v>1.9235384061671346</v>
      </c>
      <c r="U28" t="s">
        <v>35</v>
      </c>
      <c r="V28">
        <f>AVERAGE(H28,H36,H44,H32,H40)</f>
        <v>12.2</v>
      </c>
      <c r="W28">
        <f>STDEV(H28,H36,H44,H32,H40)</f>
        <v>11.166915420114902</v>
      </c>
      <c r="X28">
        <f>W28/SQRT(5)</f>
        <v>4.9939963956735083</v>
      </c>
      <c r="Y28" t="s">
        <v>35</v>
      </c>
      <c r="Z28">
        <f>AVERAGE(R28,R32,R36,R40,R44)</f>
        <v>120.8</v>
      </c>
      <c r="AA28">
        <f>STDEV(R28,R32,R40,R44,R36)</f>
        <v>18.579558659989768</v>
      </c>
      <c r="AB28">
        <f>AA28/SQRT(5)</f>
        <v>8.3090312311364052</v>
      </c>
    </row>
    <row r="29" spans="1:28" ht="15.75">
      <c r="A29" s="5">
        <v>1</v>
      </c>
      <c r="B29" s="5" t="s">
        <v>66</v>
      </c>
      <c r="C29" s="5">
        <v>2</v>
      </c>
      <c r="D29" s="5">
        <v>2</v>
      </c>
      <c r="E29" s="5">
        <v>1</v>
      </c>
      <c r="F29" s="5">
        <v>2</v>
      </c>
      <c r="G29" s="5">
        <v>1</v>
      </c>
      <c r="H29" s="5">
        <f t="shared" si="8"/>
        <v>8</v>
      </c>
      <c r="I29" s="3">
        <f t="shared" si="9"/>
        <v>1.6</v>
      </c>
      <c r="J29" s="3">
        <f t="shared" si="10"/>
        <v>0.54772255750516596</v>
      </c>
      <c r="K29" s="5">
        <v>1</v>
      </c>
      <c r="L29" s="5" t="s">
        <v>66</v>
      </c>
      <c r="M29" s="5">
        <v>38</v>
      </c>
      <c r="N29" s="5">
        <v>42</v>
      </c>
      <c r="O29" s="5">
        <v>35</v>
      </c>
      <c r="P29" s="5">
        <v>38</v>
      </c>
      <c r="Q29" s="5">
        <v>40</v>
      </c>
      <c r="R29" s="5">
        <f t="shared" si="11"/>
        <v>193</v>
      </c>
      <c r="S29" s="3">
        <f t="shared" si="12"/>
        <v>38.6</v>
      </c>
      <c r="T29" s="3">
        <f t="shared" si="13"/>
        <v>2.6076809620810595</v>
      </c>
      <c r="U29" t="s">
        <v>66</v>
      </c>
      <c r="V29">
        <f>AVERAGE(H29,H37,H45,H33,H41)</f>
        <v>5.2</v>
      </c>
      <c r="W29">
        <f>STDEV(H29,H37,H45,H33,H41)</f>
        <v>4.9699094559156709</v>
      </c>
      <c r="X29">
        <f>W29/SQRT(5)</f>
        <v>2.2226110770892866</v>
      </c>
      <c r="Y29" t="s">
        <v>66</v>
      </c>
      <c r="Z29">
        <f>AVERAGE(R29,R33,R37,R41,R45)</f>
        <v>163.19999999999999</v>
      </c>
      <c r="AA29">
        <f>STDEV(R29,R33,R41,R45,R37)</f>
        <v>67.806341886286688</v>
      </c>
      <c r="AB29">
        <f>AA29/SQRT(5)</f>
        <v>30.323917952665667</v>
      </c>
    </row>
    <row r="30" spans="1:28" ht="15.75">
      <c r="A30" s="6">
        <v>2</v>
      </c>
      <c r="B30" s="6" t="s">
        <v>33</v>
      </c>
      <c r="C30" s="6">
        <v>30</v>
      </c>
      <c r="D30" s="6">
        <v>20</v>
      </c>
      <c r="E30" s="6">
        <v>20</v>
      </c>
      <c r="F30" s="6">
        <v>30</v>
      </c>
      <c r="G30" s="6">
        <v>25</v>
      </c>
      <c r="H30" s="6">
        <f t="shared" si="8"/>
        <v>125</v>
      </c>
      <c r="I30" s="3">
        <f t="shared" si="9"/>
        <v>25</v>
      </c>
      <c r="J30" s="3">
        <f t="shared" si="10"/>
        <v>5</v>
      </c>
      <c r="K30" s="6">
        <v>2</v>
      </c>
      <c r="L30" s="6" t="s">
        <v>33</v>
      </c>
      <c r="M30" s="6">
        <v>60</v>
      </c>
      <c r="N30" s="6">
        <v>75</v>
      </c>
      <c r="O30" s="6">
        <v>88</v>
      </c>
      <c r="P30" s="6">
        <v>73</v>
      </c>
      <c r="Q30" s="6">
        <v>68</v>
      </c>
      <c r="R30" s="6">
        <f t="shared" si="11"/>
        <v>364</v>
      </c>
      <c r="S30" s="3">
        <f t="shared" si="12"/>
        <v>72.8</v>
      </c>
      <c r="T30" s="3">
        <f t="shared" si="13"/>
        <v>10.281050529979892</v>
      </c>
    </row>
    <row r="31" spans="1:28" ht="15.75">
      <c r="A31" s="6">
        <v>2</v>
      </c>
      <c r="B31" s="6" t="s">
        <v>65</v>
      </c>
      <c r="C31" s="6">
        <v>3</v>
      </c>
      <c r="D31" s="6">
        <v>4</v>
      </c>
      <c r="E31" s="6">
        <v>2</v>
      </c>
      <c r="F31" s="6">
        <v>1</v>
      </c>
      <c r="G31" s="6">
        <v>1</v>
      </c>
      <c r="H31" s="6">
        <f t="shared" si="8"/>
        <v>11</v>
      </c>
      <c r="I31" s="3">
        <f t="shared" si="9"/>
        <v>2.2000000000000002</v>
      </c>
      <c r="J31" s="3">
        <f t="shared" si="10"/>
        <v>1.3038404810405297</v>
      </c>
      <c r="K31" s="6">
        <v>2</v>
      </c>
      <c r="L31" s="6" t="s">
        <v>65</v>
      </c>
      <c r="M31" s="6">
        <v>32</v>
      </c>
      <c r="N31" s="6">
        <v>20</v>
      </c>
      <c r="O31" s="6">
        <v>24</v>
      </c>
      <c r="P31" s="6">
        <v>28</v>
      </c>
      <c r="Q31" s="6">
        <v>26</v>
      </c>
      <c r="R31" s="6">
        <f t="shared" si="11"/>
        <v>130</v>
      </c>
      <c r="S31" s="3">
        <f t="shared" si="12"/>
        <v>26</v>
      </c>
      <c r="T31" s="3">
        <f t="shared" si="13"/>
        <v>4.4721359549995796</v>
      </c>
    </row>
    <row r="32" spans="1:28" ht="15.75">
      <c r="A32" s="6">
        <v>2</v>
      </c>
      <c r="B32" s="6" t="s">
        <v>35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f t="shared" si="8"/>
        <v>0</v>
      </c>
      <c r="I32" s="3">
        <f t="shared" si="9"/>
        <v>0</v>
      </c>
      <c r="J32" s="3">
        <f t="shared" si="10"/>
        <v>0</v>
      </c>
      <c r="K32" s="6">
        <v>2</v>
      </c>
      <c r="L32" s="6" t="s">
        <v>35</v>
      </c>
      <c r="M32" s="6">
        <v>22</v>
      </c>
      <c r="N32" s="6">
        <v>28</v>
      </c>
      <c r="O32" s="6">
        <v>24</v>
      </c>
      <c r="P32" s="6">
        <v>28</v>
      </c>
      <c r="Q32" s="6">
        <v>24</v>
      </c>
      <c r="R32" s="6">
        <f t="shared" si="11"/>
        <v>126</v>
      </c>
      <c r="S32" s="3">
        <f t="shared" si="12"/>
        <v>25.2</v>
      </c>
      <c r="T32" s="3">
        <f t="shared" si="13"/>
        <v>2.6832815729997477</v>
      </c>
    </row>
    <row r="33" spans="1:26" ht="15.75">
      <c r="A33" s="6">
        <v>2</v>
      </c>
      <c r="B33" s="6" t="s">
        <v>66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f t="shared" si="8"/>
        <v>0</v>
      </c>
      <c r="I33" s="3">
        <f t="shared" si="9"/>
        <v>0</v>
      </c>
      <c r="J33" s="3">
        <f t="shared" si="10"/>
        <v>0</v>
      </c>
      <c r="K33" s="6">
        <v>2</v>
      </c>
      <c r="L33" s="6" t="s">
        <v>66</v>
      </c>
      <c r="M33" s="6">
        <v>40</v>
      </c>
      <c r="N33" s="6">
        <v>37</v>
      </c>
      <c r="O33" s="6">
        <v>42</v>
      </c>
      <c r="P33" s="6">
        <v>35</v>
      </c>
      <c r="Q33" s="6">
        <v>38</v>
      </c>
      <c r="R33" s="6">
        <f t="shared" si="11"/>
        <v>192</v>
      </c>
      <c r="S33" s="3">
        <f t="shared" si="12"/>
        <v>38.4</v>
      </c>
      <c r="T33" s="3">
        <f t="shared" si="13"/>
        <v>2.7018512172212592</v>
      </c>
    </row>
    <row r="34" spans="1:26" ht="15.75">
      <c r="A34" s="7">
        <v>3</v>
      </c>
      <c r="B34" s="7" t="s">
        <v>33</v>
      </c>
      <c r="C34" s="7">
        <v>39</v>
      </c>
      <c r="D34" s="7">
        <v>89</v>
      </c>
      <c r="E34" s="7">
        <v>56</v>
      </c>
      <c r="F34" s="7">
        <v>79</v>
      </c>
      <c r="G34" s="7">
        <v>75</v>
      </c>
      <c r="H34" s="7">
        <f t="shared" si="8"/>
        <v>338</v>
      </c>
      <c r="I34" s="3">
        <f t="shared" si="9"/>
        <v>67.599999999999994</v>
      </c>
      <c r="J34" s="3">
        <f t="shared" si="10"/>
        <v>19.969977466186592</v>
      </c>
      <c r="K34" s="7">
        <v>3</v>
      </c>
      <c r="L34" s="7" t="s">
        <v>33</v>
      </c>
      <c r="M34" s="7">
        <v>88</v>
      </c>
      <c r="N34" s="7">
        <v>65</v>
      </c>
      <c r="O34" s="7">
        <v>73</v>
      </c>
      <c r="P34" s="7">
        <v>68</v>
      </c>
      <c r="Q34" s="7">
        <v>65</v>
      </c>
      <c r="R34" s="7">
        <f>SUM(M34:Q34)</f>
        <v>359</v>
      </c>
      <c r="S34" s="3">
        <f t="shared" si="12"/>
        <v>71.8</v>
      </c>
      <c r="T34" s="3">
        <f t="shared" si="13"/>
        <v>9.6280839215287184</v>
      </c>
    </row>
    <row r="35" spans="1:26" ht="15.75">
      <c r="A35" s="7">
        <v>3</v>
      </c>
      <c r="B35" s="7" t="s">
        <v>65</v>
      </c>
      <c r="C35" s="7">
        <v>0</v>
      </c>
      <c r="D35" s="7">
        <v>3</v>
      </c>
      <c r="E35" s="7">
        <v>4</v>
      </c>
      <c r="F35" s="7">
        <v>10</v>
      </c>
      <c r="G35" s="7">
        <v>15</v>
      </c>
      <c r="H35" s="7">
        <f t="shared" si="8"/>
        <v>32</v>
      </c>
      <c r="I35" s="3">
        <f t="shared" si="9"/>
        <v>6.4</v>
      </c>
      <c r="J35" s="3">
        <f t="shared" si="10"/>
        <v>6.024948132556827</v>
      </c>
      <c r="K35" s="7">
        <v>3</v>
      </c>
      <c r="L35" s="7" t="s">
        <v>65</v>
      </c>
      <c r="M35" s="7">
        <v>38</v>
      </c>
      <c r="N35" s="7">
        <v>15</v>
      </c>
      <c r="O35" s="7">
        <v>10</v>
      </c>
      <c r="P35" s="7">
        <v>17</v>
      </c>
      <c r="Q35" s="7">
        <v>15</v>
      </c>
      <c r="R35" s="7">
        <f t="shared" si="11"/>
        <v>95</v>
      </c>
      <c r="S35" s="3">
        <f t="shared" si="12"/>
        <v>19</v>
      </c>
      <c r="T35" s="3">
        <f t="shared" si="13"/>
        <v>10.931605554537724</v>
      </c>
      <c r="V35">
        <f>V26/5</f>
        <v>48.72</v>
      </c>
    </row>
    <row r="36" spans="1:26" ht="15.75">
      <c r="A36" s="7">
        <v>3</v>
      </c>
      <c r="B36" s="7" t="s">
        <v>35</v>
      </c>
      <c r="C36" s="7">
        <v>0</v>
      </c>
      <c r="D36" s="7">
        <v>6</v>
      </c>
      <c r="E36" s="7">
        <v>2</v>
      </c>
      <c r="F36" s="7">
        <v>3</v>
      </c>
      <c r="G36" s="7">
        <v>8</v>
      </c>
      <c r="H36" s="7">
        <f t="shared" si="8"/>
        <v>19</v>
      </c>
      <c r="I36" s="3">
        <f t="shared" si="9"/>
        <v>3.8</v>
      </c>
      <c r="J36" s="3">
        <f t="shared" si="10"/>
        <v>3.1937438845342623</v>
      </c>
      <c r="K36" s="7">
        <v>3</v>
      </c>
      <c r="L36" s="7" t="s">
        <v>35</v>
      </c>
      <c r="M36" s="7">
        <v>18</v>
      </c>
      <c r="N36" s="7">
        <v>10</v>
      </c>
      <c r="O36" s="7">
        <v>38</v>
      </c>
      <c r="P36" s="7">
        <v>17</v>
      </c>
      <c r="Q36" s="7">
        <v>5</v>
      </c>
      <c r="R36" s="7">
        <f t="shared" si="11"/>
        <v>88</v>
      </c>
      <c r="S36" s="3">
        <f t="shared" si="12"/>
        <v>17.600000000000001</v>
      </c>
      <c r="T36" s="3">
        <f t="shared" si="13"/>
        <v>12.581732790041283</v>
      </c>
      <c r="Z36">
        <f>Z26/5</f>
        <v>72.36</v>
      </c>
    </row>
    <row r="37" spans="1:26" ht="15.75">
      <c r="A37" s="7">
        <v>3</v>
      </c>
      <c r="B37" s="7" t="s">
        <v>66</v>
      </c>
      <c r="C37" s="7">
        <v>0</v>
      </c>
      <c r="D37" s="7">
        <v>1</v>
      </c>
      <c r="E37" s="7">
        <v>2</v>
      </c>
      <c r="F37" s="7">
        <v>4</v>
      </c>
      <c r="G37" s="7">
        <v>4</v>
      </c>
      <c r="H37" s="7">
        <f t="shared" si="8"/>
        <v>11</v>
      </c>
      <c r="I37" s="3">
        <f t="shared" si="9"/>
        <v>2.2000000000000002</v>
      </c>
      <c r="J37" s="3">
        <f t="shared" si="10"/>
        <v>1.7888543819998317</v>
      </c>
      <c r="K37" s="7">
        <v>3</v>
      </c>
      <c r="L37" s="7" t="s">
        <v>66</v>
      </c>
      <c r="M37" s="7">
        <v>16</v>
      </c>
      <c r="N37" s="7">
        <v>12</v>
      </c>
      <c r="O37" s="7">
        <v>4</v>
      </c>
      <c r="P37" s="7">
        <v>6</v>
      </c>
      <c r="Q37" s="7">
        <v>4</v>
      </c>
      <c r="R37" s="7">
        <f t="shared" si="11"/>
        <v>42</v>
      </c>
      <c r="S37" s="3">
        <f t="shared" si="12"/>
        <v>8.4</v>
      </c>
      <c r="T37" s="3">
        <f t="shared" si="13"/>
        <v>5.3665631459994954</v>
      </c>
    </row>
    <row r="38" spans="1:26" ht="15.75">
      <c r="A38" s="8">
        <v>4</v>
      </c>
      <c r="B38" s="8" t="s">
        <v>33</v>
      </c>
      <c r="C38" s="8">
        <v>10</v>
      </c>
      <c r="D38" s="8">
        <v>20</v>
      </c>
      <c r="E38" s="8">
        <v>30</v>
      </c>
      <c r="F38" s="8">
        <v>30</v>
      </c>
      <c r="G38" s="8">
        <v>19</v>
      </c>
      <c r="H38" s="8">
        <f t="shared" si="8"/>
        <v>109</v>
      </c>
      <c r="I38" s="3">
        <f t="shared" si="9"/>
        <v>21.8</v>
      </c>
      <c r="J38" s="3">
        <f t="shared" si="10"/>
        <v>8.4380092438915977</v>
      </c>
      <c r="K38" s="8">
        <v>4</v>
      </c>
      <c r="L38" s="8" t="s">
        <v>33</v>
      </c>
      <c r="M38" s="8">
        <v>60</v>
      </c>
      <c r="N38" s="8">
        <v>55</v>
      </c>
      <c r="O38" s="8">
        <v>78</v>
      </c>
      <c r="P38" s="8">
        <v>75</v>
      </c>
      <c r="Q38" s="8">
        <v>88</v>
      </c>
      <c r="R38" s="8">
        <f>SUM(M38:Q38)</f>
        <v>356</v>
      </c>
      <c r="S38" s="3">
        <f t="shared" si="12"/>
        <v>71.2</v>
      </c>
      <c r="T38" s="3">
        <f t="shared" si="13"/>
        <v>13.516656391282565</v>
      </c>
    </row>
    <row r="39" spans="1:26" ht="15.75">
      <c r="A39" s="8">
        <v>4</v>
      </c>
      <c r="B39" s="8" t="s">
        <v>65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f t="shared" si="8"/>
        <v>0</v>
      </c>
      <c r="I39" s="3">
        <f t="shared" si="9"/>
        <v>0</v>
      </c>
      <c r="J39" s="3">
        <f t="shared" si="10"/>
        <v>0</v>
      </c>
      <c r="K39" s="8">
        <v>4</v>
      </c>
      <c r="L39" s="8" t="s">
        <v>65</v>
      </c>
      <c r="M39" s="8">
        <v>20</v>
      </c>
      <c r="N39" s="8">
        <v>25</v>
      </c>
      <c r="O39" s="8">
        <v>30</v>
      </c>
      <c r="P39" s="8">
        <v>26</v>
      </c>
      <c r="Q39" s="8">
        <v>24</v>
      </c>
      <c r="R39" s="8">
        <f t="shared" si="11"/>
        <v>125</v>
      </c>
      <c r="S39" s="3">
        <f t="shared" si="12"/>
        <v>25</v>
      </c>
      <c r="T39" s="3">
        <f t="shared" si="13"/>
        <v>3.6055512754639891</v>
      </c>
    </row>
    <row r="40" spans="1:26" ht="15.75">
      <c r="A40" s="8">
        <v>4</v>
      </c>
      <c r="B40" s="8" t="s">
        <v>35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f t="shared" si="8"/>
        <v>0</v>
      </c>
      <c r="I40" s="3">
        <f t="shared" si="9"/>
        <v>0</v>
      </c>
      <c r="J40" s="3">
        <f t="shared" si="10"/>
        <v>0</v>
      </c>
      <c r="K40" s="8">
        <v>4</v>
      </c>
      <c r="L40" s="8" t="s">
        <v>35</v>
      </c>
      <c r="M40" s="8">
        <v>24</v>
      </c>
      <c r="N40" s="8">
        <v>27</v>
      </c>
      <c r="O40" s="8">
        <v>23</v>
      </c>
      <c r="P40" s="8">
        <v>25</v>
      </c>
      <c r="Q40" s="8">
        <v>29</v>
      </c>
      <c r="R40" s="8">
        <f t="shared" si="11"/>
        <v>128</v>
      </c>
      <c r="S40" s="3">
        <f t="shared" si="12"/>
        <v>25.6</v>
      </c>
      <c r="T40" s="3">
        <f t="shared" si="13"/>
        <v>2.4083189157584592</v>
      </c>
    </row>
    <row r="41" spans="1:26" ht="15.75">
      <c r="A41" s="8">
        <v>4</v>
      </c>
      <c r="B41" s="8" t="s">
        <v>66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f t="shared" si="8"/>
        <v>0</v>
      </c>
      <c r="I41" s="3">
        <f t="shared" si="9"/>
        <v>0</v>
      </c>
      <c r="J41" s="3">
        <f t="shared" si="10"/>
        <v>0</v>
      </c>
      <c r="K41" s="8">
        <v>4</v>
      </c>
      <c r="L41" s="8" t="s">
        <v>66</v>
      </c>
      <c r="M41" s="8">
        <v>38</v>
      </c>
      <c r="N41" s="8">
        <v>44</v>
      </c>
      <c r="O41" s="8">
        <v>40</v>
      </c>
      <c r="P41" s="8">
        <v>36</v>
      </c>
      <c r="Q41" s="8">
        <v>40</v>
      </c>
      <c r="R41" s="8">
        <f t="shared" si="11"/>
        <v>198</v>
      </c>
      <c r="S41" s="3">
        <f t="shared" si="12"/>
        <v>39.6</v>
      </c>
      <c r="T41" s="3">
        <f t="shared" si="13"/>
        <v>2.9664793948382653</v>
      </c>
    </row>
    <row r="42" spans="1:26" s="3" customFormat="1" ht="15.75">
      <c r="A42" s="10">
        <v>5</v>
      </c>
      <c r="B42" s="9" t="s">
        <v>33</v>
      </c>
      <c r="C42" s="9">
        <v>50</v>
      </c>
      <c r="D42" s="9">
        <v>90</v>
      </c>
      <c r="E42" s="9">
        <v>50</v>
      </c>
      <c r="F42" s="9">
        <v>88</v>
      </c>
      <c r="G42" s="9">
        <v>45</v>
      </c>
      <c r="H42" s="9">
        <f>SUM(C42:G42)</f>
        <v>323</v>
      </c>
      <c r="I42" s="3">
        <f t="shared" si="9"/>
        <v>64.599999999999994</v>
      </c>
      <c r="J42" s="3">
        <f t="shared" si="10"/>
        <v>22.378561169118989</v>
      </c>
      <c r="K42" s="10">
        <v>5</v>
      </c>
      <c r="L42" s="9" t="s">
        <v>33</v>
      </c>
      <c r="M42" s="10">
        <v>68</v>
      </c>
      <c r="N42" s="10">
        <v>73</v>
      </c>
      <c r="O42" s="10">
        <v>79</v>
      </c>
      <c r="P42" s="10">
        <v>85</v>
      </c>
      <c r="Q42" s="10">
        <v>63</v>
      </c>
      <c r="R42" s="10">
        <f>SUM(M42:Q42)</f>
        <v>368</v>
      </c>
      <c r="S42" s="3">
        <f t="shared" si="12"/>
        <v>73.599999999999994</v>
      </c>
      <c r="T42" s="3">
        <f t="shared" si="13"/>
        <v>8.7063195438715777</v>
      </c>
    </row>
    <row r="43" spans="1:26" ht="15.75">
      <c r="A43" s="9">
        <v>5</v>
      </c>
      <c r="B43" s="9" t="s">
        <v>65</v>
      </c>
      <c r="C43" s="9">
        <v>4</v>
      </c>
      <c r="D43" s="9">
        <v>10</v>
      </c>
      <c r="E43" s="9">
        <v>10</v>
      </c>
      <c r="F43" s="9">
        <v>15</v>
      </c>
      <c r="G43" s="9">
        <v>4</v>
      </c>
      <c r="H43" s="9">
        <f t="shared" si="8"/>
        <v>43</v>
      </c>
      <c r="I43" s="3">
        <f t="shared" si="9"/>
        <v>8.6</v>
      </c>
      <c r="J43" s="3">
        <f t="shared" si="10"/>
        <v>4.6690470119715002</v>
      </c>
      <c r="K43" s="9">
        <v>5</v>
      </c>
      <c r="L43" s="9" t="s">
        <v>65</v>
      </c>
      <c r="M43" s="9">
        <v>20</v>
      </c>
      <c r="N43" s="9">
        <v>24</v>
      </c>
      <c r="O43" s="9">
        <v>20</v>
      </c>
      <c r="P43" s="9">
        <v>27</v>
      </c>
      <c r="Q43" s="9">
        <v>32</v>
      </c>
      <c r="R43" s="10">
        <f>SUM(M43:Q43)</f>
        <v>123</v>
      </c>
      <c r="S43" s="3">
        <f t="shared" si="12"/>
        <v>24.6</v>
      </c>
      <c r="T43" s="3">
        <f t="shared" si="13"/>
        <v>5.0793700396801134</v>
      </c>
    </row>
    <row r="44" spans="1:26" ht="15.75">
      <c r="A44" s="9">
        <v>5</v>
      </c>
      <c r="B44" s="9" t="s">
        <v>35</v>
      </c>
      <c r="C44" s="9">
        <v>5</v>
      </c>
      <c r="D44" s="9">
        <v>8</v>
      </c>
      <c r="E44" s="9">
        <v>4</v>
      </c>
      <c r="F44" s="9">
        <v>2</v>
      </c>
      <c r="G44" s="9">
        <v>2</v>
      </c>
      <c r="H44" s="9">
        <f t="shared" si="8"/>
        <v>21</v>
      </c>
      <c r="I44" s="3">
        <f t="shared" si="9"/>
        <v>4.2</v>
      </c>
      <c r="J44" s="3">
        <f t="shared" si="10"/>
        <v>2.4899799195977463</v>
      </c>
      <c r="K44" s="9">
        <v>5</v>
      </c>
      <c r="L44" s="9" t="s">
        <v>35</v>
      </c>
      <c r="M44" s="9">
        <v>25</v>
      </c>
      <c r="N44" s="9">
        <v>27</v>
      </c>
      <c r="O44" s="9">
        <v>23</v>
      </c>
      <c r="P44" s="9">
        <v>25</v>
      </c>
      <c r="Q44" s="9">
        <v>28</v>
      </c>
      <c r="R44" s="10">
        <f>SUM(M44:Q44)</f>
        <v>128</v>
      </c>
      <c r="S44" s="3">
        <f t="shared" si="12"/>
        <v>25.6</v>
      </c>
      <c r="T44" s="3">
        <f t="shared" si="13"/>
        <v>1.9493588689617927</v>
      </c>
    </row>
    <row r="45" spans="1:26" ht="15.75">
      <c r="A45" s="9">
        <v>5</v>
      </c>
      <c r="B45" s="9" t="s">
        <v>66</v>
      </c>
      <c r="C45" s="9">
        <v>1</v>
      </c>
      <c r="D45" s="9">
        <v>2</v>
      </c>
      <c r="E45" s="9">
        <v>1</v>
      </c>
      <c r="F45" s="9">
        <v>2</v>
      </c>
      <c r="G45" s="9">
        <v>1</v>
      </c>
      <c r="H45" s="9">
        <f t="shared" si="8"/>
        <v>7</v>
      </c>
      <c r="I45" s="3">
        <f>AVERAGE(C45:G45)</f>
        <v>1.4</v>
      </c>
      <c r="J45" s="3">
        <f t="shared" si="10"/>
        <v>0.54772255750516596</v>
      </c>
      <c r="K45" s="9">
        <v>5</v>
      </c>
      <c r="L45" s="9" t="s">
        <v>66</v>
      </c>
      <c r="M45" s="9">
        <v>35</v>
      </c>
      <c r="N45" s="9">
        <v>42</v>
      </c>
      <c r="O45" s="9">
        <v>38</v>
      </c>
      <c r="P45" s="9">
        <v>36</v>
      </c>
      <c r="Q45" s="9">
        <v>40</v>
      </c>
      <c r="R45" s="10">
        <f>SUM(M45:Q45)</f>
        <v>191</v>
      </c>
      <c r="S45" s="3">
        <f t="shared" si="12"/>
        <v>38.200000000000003</v>
      </c>
      <c r="T45" s="3">
        <f t="shared" si="13"/>
        <v>2.8635642126552705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Samples Integrity and yield</vt:lpstr>
      <vt:lpstr>Efficiency primer</vt:lpstr>
      <vt:lpstr>Delta-Delta cq</vt:lpstr>
      <vt:lpstr>MetadaDataYieldEmbryos</vt:lpstr>
    </vt:vector>
  </TitlesOfParts>
  <Company>Barts and the London School of Medicine and Dentistry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 Bustin</dc:creator>
  <cp:lastModifiedBy>victor Aguilar</cp:lastModifiedBy>
  <cp:lastPrinted>2009-01-13T08:53:49Z</cp:lastPrinted>
  <dcterms:created xsi:type="dcterms:W3CDTF">2009-01-06T15:35:52Z</dcterms:created>
  <dcterms:modified xsi:type="dcterms:W3CDTF">2024-08-25T19:28:52Z</dcterms:modified>
</cp:coreProperties>
</file>